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3600" yWindow="1140" windowWidth="33140" windowHeight="16680"/>
  </bookViews>
  <sheets>
    <sheet name="Worksheet 1 - Scoring Matrix" sheetId="4" r:id="rId1"/>
    <sheet name="Worksheet 2 - Traceback" sheetId="5" r:id="rId2"/>
    <sheet name="Terms &amp; Conditions" sheetId="3" r:id="rId3"/>
    <sheet name="Solution" sheetId="1" r:id="rId4"/>
    <sheet name="Calculations" sheetId="6" r:id="rId5"/>
  </sheets>
  <definedNames>
    <definedName name="AlignmentMatrix">Solution!$F$3:$AG$23</definedName>
    <definedName name="AlignmentScore">'Worksheet 2 - Traceback'!$C$19</definedName>
    <definedName name="AlignmentType">'Worksheet 1 - Scoring Matrix'!$A$2</definedName>
    <definedName name="GapScore">'Worksheet 1 - Scoring Matrix'!$B$16</definedName>
    <definedName name="MatchScore">'Worksheet 1 - Scoring Matrix'!$B$13</definedName>
    <definedName name="MismatchScore">'Worksheet 1 - Scoring Matrix'!$B$14</definedName>
    <definedName name="NumberOfOptimalAlignments">Calculations!$H$42</definedName>
    <definedName name="SeqA_Length">'Worksheet 1 - Scoring Matrix'!$C$25</definedName>
    <definedName name="SeqB_Length">'Worksheet 1 - Scoring Matrix'!$C$26</definedName>
    <definedName name="StartingCell">Calculations!$B$1</definedName>
    <definedName name="TrueAlignmentScore">Solution!$C$23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 i="4" l="1"/>
  <c r="I7" i="4"/>
  <c r="H7" i="1"/>
  <c r="H10" i="1"/>
  <c r="H13" i="1"/>
  <c r="H16" i="1"/>
  <c r="H19" i="1"/>
  <c r="H22" i="1"/>
  <c r="J22" i="1"/>
  <c r="J19" i="1"/>
  <c r="J16" i="1"/>
  <c r="J13" i="1"/>
  <c r="J10" i="1"/>
  <c r="J7" i="1"/>
  <c r="K4" i="1"/>
  <c r="K6" i="1"/>
  <c r="J2" i="1"/>
  <c r="F6" i="1"/>
  <c r="J6" i="1"/>
  <c r="K7" i="1"/>
  <c r="K9" i="1"/>
  <c r="F9" i="1"/>
  <c r="J9" i="1"/>
  <c r="K10" i="1"/>
  <c r="K12" i="1"/>
  <c r="F12" i="1"/>
  <c r="J12" i="1"/>
  <c r="K13" i="1"/>
  <c r="K15" i="1"/>
  <c r="F15" i="1"/>
  <c r="J15" i="1"/>
  <c r="K16" i="1"/>
  <c r="K18" i="1"/>
  <c r="F18" i="1"/>
  <c r="J18" i="1"/>
  <c r="K19" i="1"/>
  <c r="K21" i="1"/>
  <c r="F21" i="1"/>
  <c r="J21" i="1"/>
  <c r="K22" i="1"/>
  <c r="M22" i="1"/>
  <c r="M19" i="1"/>
  <c r="M16" i="1"/>
  <c r="M13" i="1"/>
  <c r="M10" i="1"/>
  <c r="M7" i="1"/>
  <c r="N4" i="1"/>
  <c r="N6" i="1"/>
  <c r="M2" i="1"/>
  <c r="M6" i="1"/>
  <c r="N7" i="1"/>
  <c r="N9" i="1"/>
  <c r="M9" i="1"/>
  <c r="N10" i="1"/>
  <c r="N12" i="1"/>
  <c r="M12" i="1"/>
  <c r="N13" i="1"/>
  <c r="N15" i="1"/>
  <c r="M15" i="1"/>
  <c r="N16" i="1"/>
  <c r="N18" i="1"/>
  <c r="M18" i="1"/>
  <c r="N19" i="1"/>
  <c r="N21" i="1"/>
  <c r="M21" i="1"/>
  <c r="N22" i="1"/>
  <c r="P22" i="1"/>
  <c r="P19" i="1"/>
  <c r="P16" i="1"/>
  <c r="P13" i="1"/>
  <c r="P10" i="1"/>
  <c r="P7" i="1"/>
  <c r="Q4" i="1"/>
  <c r="Q6" i="1"/>
  <c r="P2" i="1"/>
  <c r="P6" i="1"/>
  <c r="Q7" i="1"/>
  <c r="Q9" i="1"/>
  <c r="P9" i="1"/>
  <c r="Q10" i="1"/>
  <c r="Q12" i="1"/>
  <c r="P12" i="1"/>
  <c r="Q13" i="1"/>
  <c r="Q15" i="1"/>
  <c r="P15" i="1"/>
  <c r="Q16" i="1"/>
  <c r="Q18" i="1"/>
  <c r="P18" i="1"/>
  <c r="Q19" i="1"/>
  <c r="Q21" i="1"/>
  <c r="P21" i="1"/>
  <c r="Q22" i="1"/>
  <c r="S22" i="1"/>
  <c r="S19" i="1"/>
  <c r="S16" i="1"/>
  <c r="S13" i="1"/>
  <c r="S10" i="1"/>
  <c r="S7" i="1"/>
  <c r="T4" i="1"/>
  <c r="T6" i="1"/>
  <c r="S2" i="1"/>
  <c r="S6" i="1"/>
  <c r="T7" i="1"/>
  <c r="T9" i="1"/>
  <c r="S9" i="1"/>
  <c r="T10" i="1"/>
  <c r="T12" i="1"/>
  <c r="S12" i="1"/>
  <c r="T13" i="1"/>
  <c r="T15" i="1"/>
  <c r="S15" i="1"/>
  <c r="T16" i="1"/>
  <c r="T18" i="1"/>
  <c r="S18" i="1"/>
  <c r="T19" i="1"/>
  <c r="T21" i="1"/>
  <c r="S21" i="1"/>
  <c r="T22" i="1"/>
  <c r="V22" i="1"/>
  <c r="V19" i="1"/>
  <c r="V16" i="1"/>
  <c r="V13" i="1"/>
  <c r="V10" i="1"/>
  <c r="V7" i="1"/>
  <c r="W4" i="1"/>
  <c r="W6" i="1"/>
  <c r="V2" i="1"/>
  <c r="V6" i="1"/>
  <c r="W7" i="1"/>
  <c r="W9" i="1"/>
  <c r="V9" i="1"/>
  <c r="W10" i="1"/>
  <c r="W12" i="1"/>
  <c r="V12" i="1"/>
  <c r="W13" i="1"/>
  <c r="W15" i="1"/>
  <c r="V15" i="1"/>
  <c r="W16" i="1"/>
  <c r="W18" i="1"/>
  <c r="V18" i="1"/>
  <c r="W19" i="1"/>
  <c r="W21" i="1"/>
  <c r="V21" i="1"/>
  <c r="W22" i="1"/>
  <c r="Y22" i="1"/>
  <c r="Y19" i="1"/>
  <c r="Y16" i="1"/>
  <c r="Y13" i="1"/>
  <c r="Y10" i="1"/>
  <c r="Y7" i="1"/>
  <c r="Z4" i="1"/>
  <c r="Z6" i="1"/>
  <c r="Y2" i="1"/>
  <c r="Y6" i="1"/>
  <c r="Z7" i="1"/>
  <c r="Z9" i="1"/>
  <c r="Y9" i="1"/>
  <c r="Z10" i="1"/>
  <c r="Z12" i="1"/>
  <c r="Y12" i="1"/>
  <c r="Z13" i="1"/>
  <c r="Z15" i="1"/>
  <c r="Y15" i="1"/>
  <c r="Z16" i="1"/>
  <c r="Z18" i="1"/>
  <c r="Y18" i="1"/>
  <c r="Z19" i="1"/>
  <c r="Z21" i="1"/>
  <c r="Y21" i="1"/>
  <c r="Z22" i="1"/>
  <c r="AB22" i="1"/>
  <c r="AB19" i="1"/>
  <c r="AB16" i="1"/>
  <c r="AB13" i="1"/>
  <c r="AB10" i="1"/>
  <c r="AB7" i="1"/>
  <c r="AC4" i="1"/>
  <c r="AC6" i="1"/>
  <c r="AB2" i="1"/>
  <c r="AB6" i="1"/>
  <c r="AC7" i="1"/>
  <c r="AC9" i="1"/>
  <c r="AB9" i="1"/>
  <c r="AC10" i="1"/>
  <c r="AC12" i="1"/>
  <c r="AB12" i="1"/>
  <c r="AC13" i="1"/>
  <c r="AC15" i="1"/>
  <c r="AB15" i="1"/>
  <c r="AC16" i="1"/>
  <c r="AC18" i="1"/>
  <c r="AB18" i="1"/>
  <c r="AC19" i="1"/>
  <c r="AC21" i="1"/>
  <c r="AB21" i="1"/>
  <c r="AC22" i="1"/>
  <c r="AE29" i="4"/>
  <c r="AE29" i="5"/>
  <c r="V20" i="4"/>
  <c r="V20" i="5"/>
  <c r="S20" i="4"/>
  <c r="S20" i="5"/>
  <c r="P17" i="4"/>
  <c r="P17" i="5"/>
  <c r="M14" i="4"/>
  <c r="M14" i="5"/>
  <c r="A28" i="1"/>
  <c r="A27" i="1"/>
  <c r="A22" i="1"/>
  <c r="A21" i="1"/>
  <c r="A29" i="5"/>
  <c r="A28" i="5"/>
  <c r="AB5" i="5"/>
  <c r="AB29" i="4"/>
  <c r="AB29" i="5"/>
  <c r="Y26" i="4"/>
  <c r="Y26" i="5"/>
  <c r="Y23" i="4"/>
  <c r="Y23" i="5"/>
  <c r="V23" i="4"/>
  <c r="V23" i="5"/>
  <c r="S17" i="4"/>
  <c r="S17" i="5"/>
  <c r="P14" i="4"/>
  <c r="P14" i="5"/>
  <c r="B5" i="5"/>
  <c r="AE22" i="1"/>
  <c r="AE19" i="1"/>
  <c r="AE16" i="1"/>
  <c r="AE13" i="1"/>
  <c r="AE10" i="1"/>
  <c r="AE7" i="1"/>
  <c r="AE2" i="1"/>
  <c r="AE6" i="1"/>
  <c r="AF4" i="1"/>
  <c r="AF6" i="1"/>
  <c r="AF7" i="1"/>
  <c r="AF9" i="1"/>
  <c r="AE9" i="1"/>
  <c r="AF10" i="1"/>
  <c r="AF12" i="1"/>
  <c r="AE12" i="1"/>
  <c r="AF13" i="1"/>
  <c r="AF15" i="1"/>
  <c r="AE15" i="1"/>
  <c r="AF16" i="1"/>
  <c r="AF18" i="1"/>
  <c r="AE18" i="1"/>
  <c r="AF19" i="1"/>
  <c r="AF21" i="1"/>
  <c r="AE21" i="1"/>
  <c r="AF22" i="1"/>
  <c r="AH29" i="4"/>
  <c r="AH29" i="5"/>
  <c r="AH26" i="4"/>
  <c r="AH26" i="5"/>
  <c r="AE23" i="4"/>
  <c r="AE23" i="5"/>
  <c r="AB20" i="4"/>
  <c r="AB20" i="5"/>
  <c r="Y20" i="4"/>
  <c r="Y20" i="5"/>
  <c r="B5" i="1"/>
  <c r="X9" i="5"/>
  <c r="C26" i="4"/>
  <c r="C25" i="4"/>
  <c r="C23" i="1"/>
  <c r="AG23" i="1"/>
  <c r="AD23" i="1"/>
  <c r="AA23" i="1"/>
  <c r="X23" i="1"/>
  <c r="U23" i="1"/>
  <c r="R23" i="1"/>
  <c r="O23" i="1"/>
  <c r="L23" i="1"/>
  <c r="I23" i="1"/>
  <c r="AG20" i="1"/>
  <c r="AD20" i="1"/>
  <c r="AA20" i="1"/>
  <c r="X20" i="1"/>
  <c r="U20" i="1"/>
  <c r="R20" i="1"/>
  <c r="O20" i="1"/>
  <c r="L20" i="1"/>
  <c r="H6" i="1"/>
  <c r="H9" i="1"/>
  <c r="H12" i="1"/>
  <c r="H15" i="1"/>
  <c r="H18" i="1"/>
  <c r="H21" i="1"/>
  <c r="I20" i="1"/>
  <c r="AG17" i="1"/>
  <c r="AD17" i="1"/>
  <c r="AA17" i="1"/>
  <c r="X17" i="1"/>
  <c r="U17" i="1"/>
  <c r="R17" i="1"/>
  <c r="O17" i="1"/>
  <c r="L17" i="1"/>
  <c r="I17" i="1"/>
  <c r="AG14" i="1"/>
  <c r="AD14" i="1"/>
  <c r="AA14" i="1"/>
  <c r="X14" i="1"/>
  <c r="U14" i="1"/>
  <c r="R14" i="1"/>
  <c r="O14" i="1"/>
  <c r="L14" i="1"/>
  <c r="I14" i="1"/>
  <c r="AG11" i="1"/>
  <c r="AD11" i="1"/>
  <c r="AA11" i="1"/>
  <c r="X11" i="1"/>
  <c r="U11" i="1"/>
  <c r="R11" i="1"/>
  <c r="O11" i="1"/>
  <c r="L11" i="1"/>
  <c r="I11" i="1"/>
  <c r="AG8" i="1"/>
  <c r="AD8" i="1"/>
  <c r="AA8" i="1"/>
  <c r="X8" i="1"/>
  <c r="U8" i="1"/>
  <c r="R8" i="1"/>
  <c r="O8" i="1"/>
  <c r="L8" i="1"/>
  <c r="I8" i="1"/>
  <c r="AG5" i="1"/>
  <c r="AE4" i="1"/>
  <c r="AD5" i="1"/>
  <c r="AB4" i="1"/>
  <c r="AA5" i="1"/>
  <c r="Y4" i="1"/>
  <c r="X5" i="1"/>
  <c r="V4" i="1"/>
  <c r="U5" i="1"/>
  <c r="S4" i="1"/>
  <c r="R5" i="1"/>
  <c r="P4" i="1"/>
  <c r="O5" i="1"/>
  <c r="M4" i="1"/>
  <c r="L5" i="1"/>
  <c r="J4" i="1"/>
  <c r="I5" i="1"/>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B1" i="6"/>
  <c r="B3" i="6"/>
  <c r="B4" i="6"/>
  <c r="B5" i="6"/>
  <c r="G2" i="6"/>
  <c r="H2" i="6"/>
  <c r="G3" i="6"/>
  <c r="B8" i="6"/>
  <c r="B9" i="6"/>
  <c r="B10" i="6"/>
  <c r="G7" i="6"/>
  <c r="H7" i="6"/>
  <c r="G8" i="6"/>
  <c r="B13" i="6"/>
  <c r="B14" i="6"/>
  <c r="B15" i="6"/>
  <c r="G12" i="6"/>
  <c r="H12" i="6"/>
  <c r="G13" i="6"/>
  <c r="B18" i="6"/>
  <c r="B19" i="6"/>
  <c r="B20" i="6"/>
  <c r="G17" i="6"/>
  <c r="H17" i="6"/>
  <c r="G18" i="6"/>
  <c r="B23" i="6"/>
  <c r="B24" i="6"/>
  <c r="B25" i="6"/>
  <c r="G22" i="6"/>
  <c r="H22" i="6"/>
  <c r="G23" i="6"/>
  <c r="B28" i="6"/>
  <c r="B29" i="6"/>
  <c r="B30" i="6"/>
  <c r="G27" i="6"/>
  <c r="H27" i="6"/>
  <c r="G28" i="6"/>
  <c r="B33" i="6"/>
  <c r="B34" i="6"/>
  <c r="B35" i="6"/>
  <c r="G32" i="6"/>
  <c r="H32" i="6"/>
  <c r="G33" i="6"/>
  <c r="B38" i="6"/>
  <c r="B39" i="6"/>
  <c r="B40" i="6"/>
  <c r="G37" i="6"/>
  <c r="H37" i="6"/>
  <c r="H42" i="6"/>
  <c r="M11" i="4"/>
  <c r="M11" i="5"/>
  <c r="AB23" i="4"/>
  <c r="AB23" i="5"/>
  <c r="AE26" i="4"/>
  <c r="AE26" i="5"/>
  <c r="D4" i="6"/>
  <c r="D5" i="6"/>
  <c r="G5" i="6"/>
  <c r="C3" i="6"/>
  <c r="C5" i="6"/>
  <c r="G4" i="6"/>
  <c r="C8" i="6"/>
  <c r="D9" i="6"/>
  <c r="C10" i="6"/>
  <c r="D10" i="6"/>
  <c r="G10" i="6"/>
  <c r="G9" i="6"/>
  <c r="C13" i="6"/>
  <c r="D14" i="6"/>
  <c r="C15" i="6"/>
  <c r="D15" i="6"/>
  <c r="G15" i="6"/>
  <c r="G14" i="6"/>
  <c r="D19" i="6"/>
  <c r="D20" i="6"/>
  <c r="G20" i="6"/>
  <c r="C18" i="6"/>
  <c r="C20" i="6"/>
  <c r="G19" i="6"/>
  <c r="C23" i="6"/>
  <c r="D24" i="6"/>
  <c r="C25" i="6"/>
  <c r="D25" i="6"/>
  <c r="G25" i="6"/>
  <c r="G24" i="6"/>
  <c r="C28" i="6"/>
  <c r="D29" i="6"/>
  <c r="C30" i="6"/>
  <c r="D30" i="6"/>
  <c r="G30" i="6"/>
  <c r="G29" i="6"/>
  <c r="C33" i="6"/>
  <c r="D34" i="6"/>
  <c r="C35" i="6"/>
  <c r="D35" i="6"/>
  <c r="G35" i="6"/>
  <c r="G38" i="6"/>
  <c r="G34" i="6"/>
  <c r="D39" i="6"/>
  <c r="D40" i="6"/>
  <c r="G40" i="6"/>
  <c r="C38" i="6"/>
  <c r="C40" i="6"/>
  <c r="G39" i="6"/>
  <c r="F13" i="5"/>
  <c r="L7" i="5"/>
  <c r="P11" i="4"/>
  <c r="P11" i="5"/>
  <c r="S14" i="4"/>
  <c r="S14" i="5"/>
  <c r="V17" i="4"/>
  <c r="V17" i="5"/>
  <c r="H1" i="1"/>
  <c r="K1" i="1"/>
  <c r="N1" i="1"/>
  <c r="Q1" i="1"/>
  <c r="T1" i="1"/>
  <c r="W1" i="1"/>
  <c r="Z1" i="1"/>
  <c r="AC1" i="1"/>
  <c r="AF1" i="1"/>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A29" i="1"/>
  <c r="A31" i="5"/>
  <c r="AB26" i="4"/>
  <c r="AB26" i="5"/>
  <c r="AF28" i="5"/>
  <c r="AF29" i="5"/>
  <c r="AC28" i="5"/>
  <c r="AC29" i="5"/>
  <c r="Z28" i="5"/>
  <c r="Z29" i="5"/>
  <c r="Y29" i="4"/>
  <c r="Y29" i="5"/>
  <c r="W28" i="5"/>
  <c r="W29" i="5"/>
  <c r="V29" i="4"/>
  <c r="V29" i="5"/>
  <c r="T28" i="5"/>
  <c r="T29" i="5"/>
  <c r="S29" i="4"/>
  <c r="S29" i="5"/>
  <c r="Q28" i="5"/>
  <c r="Q29" i="5"/>
  <c r="P29" i="4"/>
  <c r="P29" i="5"/>
  <c r="N28" i="5"/>
  <c r="N29" i="5"/>
  <c r="M29" i="4"/>
  <c r="M29" i="5"/>
  <c r="K28" i="5"/>
  <c r="K29" i="5"/>
  <c r="J29" i="4"/>
  <c r="J29" i="5"/>
  <c r="AF25" i="5"/>
  <c r="AF26" i="5"/>
  <c r="AC25" i="5"/>
  <c r="AC26" i="5"/>
  <c r="Z25" i="5"/>
  <c r="Z26" i="5"/>
  <c r="W25" i="5"/>
  <c r="W26" i="5"/>
  <c r="V26" i="4"/>
  <c r="V26" i="5"/>
  <c r="T25" i="5"/>
  <c r="T26" i="5"/>
  <c r="S26" i="4"/>
  <c r="S26" i="5"/>
  <c r="Q25" i="5"/>
  <c r="Q26" i="5"/>
  <c r="P26" i="4"/>
  <c r="P26" i="5"/>
  <c r="N25" i="5"/>
  <c r="N26" i="5"/>
  <c r="M26" i="4"/>
  <c r="M26" i="5"/>
  <c r="K25" i="5"/>
  <c r="K26" i="5"/>
  <c r="J26" i="4"/>
  <c r="J26" i="5"/>
  <c r="AH23" i="4"/>
  <c r="AH23" i="5"/>
  <c r="AF22" i="5"/>
  <c r="AF23" i="5"/>
  <c r="AC22" i="5"/>
  <c r="AC23" i="5"/>
  <c r="Z22" i="5"/>
  <c r="Z23" i="5"/>
  <c r="W22" i="5"/>
  <c r="W23" i="5"/>
  <c r="T22" i="5"/>
  <c r="T23" i="5"/>
  <c r="S23" i="4"/>
  <c r="S23" i="5"/>
  <c r="Q22" i="5"/>
  <c r="Q23" i="5"/>
  <c r="P23" i="4"/>
  <c r="P23" i="5"/>
  <c r="N22" i="5"/>
  <c r="N23" i="5"/>
  <c r="M23" i="4"/>
  <c r="M23" i="5"/>
  <c r="K22" i="5"/>
  <c r="K23" i="5"/>
  <c r="J23" i="4"/>
  <c r="J23" i="5"/>
  <c r="AH20" i="4"/>
  <c r="AH20" i="5"/>
  <c r="AF19" i="5"/>
  <c r="AF20" i="5"/>
  <c r="AE20" i="4"/>
  <c r="AE20" i="5"/>
  <c r="AC19" i="5"/>
  <c r="AC20" i="5"/>
  <c r="Z19" i="5"/>
  <c r="Z20" i="5"/>
  <c r="W19" i="5"/>
  <c r="W20" i="5"/>
  <c r="T19" i="5"/>
  <c r="T20" i="5"/>
  <c r="Q19" i="5"/>
  <c r="Q20" i="5"/>
  <c r="P20" i="4"/>
  <c r="P20" i="5"/>
  <c r="N19" i="5"/>
  <c r="N20" i="5"/>
  <c r="M20" i="4"/>
  <c r="M20" i="5"/>
  <c r="K19" i="5"/>
  <c r="K20" i="5"/>
  <c r="J20" i="4"/>
  <c r="J20" i="5"/>
  <c r="AH17" i="4"/>
  <c r="AH17" i="5"/>
  <c r="AF16" i="5"/>
  <c r="AF17" i="5"/>
  <c r="AE17" i="4"/>
  <c r="AE17" i="5"/>
  <c r="AC16" i="5"/>
  <c r="AC17" i="5"/>
  <c r="AB17" i="4"/>
  <c r="AB17" i="5"/>
  <c r="Z16" i="5"/>
  <c r="Z17" i="5"/>
  <c r="Y17" i="4"/>
  <c r="Y17" i="5"/>
  <c r="W16" i="5"/>
  <c r="W17" i="5"/>
  <c r="T16" i="5"/>
  <c r="T17" i="5"/>
  <c r="Q16" i="5"/>
  <c r="Q17" i="5"/>
  <c r="N16" i="5"/>
  <c r="N17" i="5"/>
  <c r="M17" i="4"/>
  <c r="M17" i="5"/>
  <c r="K16" i="5"/>
  <c r="K17" i="5"/>
  <c r="J17" i="4"/>
  <c r="J17" i="5"/>
  <c r="J14" i="4"/>
  <c r="J14" i="5"/>
  <c r="G13" i="5"/>
  <c r="G16" i="5"/>
  <c r="G19" i="5"/>
  <c r="G22" i="5"/>
  <c r="G25" i="5"/>
  <c r="G28" i="5"/>
  <c r="C10" i="5"/>
  <c r="L9" i="5"/>
  <c r="O9" i="5"/>
  <c r="R9" i="5"/>
  <c r="U9" i="5"/>
  <c r="AA9" i="5"/>
  <c r="AD9" i="5"/>
  <c r="AG9" i="5"/>
  <c r="C9" i="5"/>
  <c r="O17" i="4"/>
  <c r="P16" i="4"/>
  <c r="O16" i="4"/>
  <c r="L17" i="4"/>
  <c r="M16" i="4"/>
  <c r="L16" i="4"/>
  <c r="O14" i="4"/>
  <c r="P13" i="4"/>
  <c r="O13" i="4"/>
  <c r="L14" i="4"/>
  <c r="M13" i="4"/>
  <c r="L13" i="4"/>
  <c r="J16" i="4"/>
  <c r="J13" i="4"/>
  <c r="O11" i="4"/>
  <c r="L11" i="4"/>
  <c r="I36" i="5"/>
  <c r="I35" i="5"/>
  <c r="AF13" i="5"/>
  <c r="AF14" i="5"/>
  <c r="AF10" i="5"/>
  <c r="AF11" i="5"/>
  <c r="AC13" i="5"/>
  <c r="AC14" i="5"/>
  <c r="AC10" i="5"/>
  <c r="AC11" i="5"/>
  <c r="Z13" i="5"/>
  <c r="Z14" i="5"/>
  <c r="Z10" i="5"/>
  <c r="Z11" i="5"/>
  <c r="W13" i="5"/>
  <c r="W14" i="5"/>
  <c r="W10" i="5"/>
  <c r="W11" i="5"/>
  <c r="T13" i="5"/>
  <c r="T14" i="5"/>
  <c r="T10" i="5"/>
  <c r="T11" i="5"/>
  <c r="Q13" i="5"/>
  <c r="Q14" i="5"/>
  <c r="Q10" i="5"/>
  <c r="Q11" i="5"/>
  <c r="N13" i="5"/>
  <c r="N14" i="5"/>
  <c r="N10" i="5"/>
  <c r="N11" i="5"/>
  <c r="AI28" i="5"/>
  <c r="AI29" i="5"/>
  <c r="AI25" i="5"/>
  <c r="AI26" i="5"/>
  <c r="AI22" i="5"/>
  <c r="AI23" i="5"/>
  <c r="AI19" i="5"/>
  <c r="AI20" i="5"/>
  <c r="AI16" i="5"/>
  <c r="AI17" i="5"/>
  <c r="AI13" i="5"/>
  <c r="AI14" i="5"/>
  <c r="AI10" i="5"/>
  <c r="AI11" i="5"/>
  <c r="K13" i="5"/>
  <c r="K14" i="5"/>
  <c r="K10" i="5"/>
  <c r="K11" i="5"/>
  <c r="C28" i="1"/>
  <c r="C27" i="1"/>
  <c r="E4" i="1"/>
  <c r="AH14" i="4"/>
  <c r="AH14" i="5"/>
  <c r="AH11" i="4"/>
  <c r="AH11" i="5"/>
  <c r="AE14" i="4"/>
  <c r="AE14" i="5"/>
  <c r="AE11" i="4"/>
  <c r="AE11" i="5"/>
  <c r="AB14" i="4"/>
  <c r="AB14" i="5"/>
  <c r="AB11" i="4"/>
  <c r="AB11" i="5"/>
  <c r="Y14" i="4"/>
  <c r="Y14" i="5"/>
  <c r="Y11" i="4"/>
  <c r="Y11" i="5"/>
  <c r="V14" i="4"/>
  <c r="V14" i="5"/>
  <c r="V11" i="4"/>
  <c r="V11" i="5"/>
  <c r="S11" i="4"/>
  <c r="S11" i="5"/>
  <c r="G22" i="1"/>
  <c r="G21" i="1"/>
  <c r="G19" i="1"/>
  <c r="G18" i="1"/>
  <c r="G16" i="1"/>
  <c r="G15" i="1"/>
  <c r="G13" i="1"/>
  <c r="G12" i="1"/>
  <c r="G10" i="1"/>
  <c r="G9" i="1"/>
  <c r="G7" i="1"/>
  <c r="G6" i="1"/>
  <c r="AF3" i="1"/>
  <c r="AE3" i="1"/>
  <c r="AC3" i="1"/>
  <c r="AB3" i="1"/>
  <c r="Z3" i="1"/>
  <c r="Y3" i="1"/>
  <c r="W3" i="1"/>
  <c r="V3" i="1"/>
  <c r="T3" i="1"/>
  <c r="S3" i="1"/>
  <c r="Q3" i="1"/>
  <c r="P3" i="1"/>
  <c r="N3" i="1"/>
  <c r="M3" i="1"/>
  <c r="K3" i="1"/>
  <c r="J3" i="1"/>
  <c r="J11" i="4"/>
  <c r="E7" i="1"/>
  <c r="E10" i="1"/>
  <c r="E13" i="1"/>
  <c r="E16" i="1"/>
  <c r="E19" i="1"/>
  <c r="E22" i="1"/>
  <c r="P59" i="6"/>
  <c r="P60" i="6"/>
  <c r="P61" i="6"/>
  <c r="P62" i="6"/>
  <c r="P63" i="6"/>
  <c r="P64" i="6"/>
  <c r="P65" i="6"/>
  <c r="P66"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P5" i="6"/>
  <c r="P6" i="6"/>
  <c r="P7" i="6"/>
  <c r="P8" i="6"/>
  <c r="P9" i="6"/>
  <c r="P10" i="6"/>
  <c r="P11" i="6"/>
  <c r="P12" i="6"/>
  <c r="P14" i="6"/>
  <c r="P15" i="6"/>
  <c r="P16" i="6"/>
  <c r="P17" i="6"/>
  <c r="P18" i="6"/>
  <c r="P19" i="6"/>
  <c r="P20" i="6"/>
  <c r="P21" i="6"/>
  <c r="P23" i="6"/>
  <c r="P24" i="6"/>
  <c r="P25" i="6"/>
  <c r="P26" i="6"/>
  <c r="P27" i="6"/>
  <c r="P28" i="6"/>
  <c r="P29" i="6"/>
  <c r="P30" i="6"/>
  <c r="P32" i="6"/>
  <c r="P33" i="6"/>
  <c r="P34" i="6"/>
  <c r="P35" i="6"/>
  <c r="P36" i="6"/>
  <c r="P37" i="6"/>
  <c r="P38" i="6"/>
  <c r="P39" i="6"/>
  <c r="P41" i="6"/>
  <c r="P42" i="6"/>
  <c r="P43" i="6"/>
  <c r="P44" i="6"/>
  <c r="P45" i="6"/>
  <c r="P46" i="6"/>
  <c r="P47" i="6"/>
  <c r="P48" i="6"/>
  <c r="P50" i="6"/>
  <c r="P51" i="6"/>
  <c r="P52" i="6"/>
  <c r="P53" i="6"/>
  <c r="P54" i="6"/>
  <c r="P55" i="6"/>
  <c r="P56" i="6"/>
  <c r="P57" i="6"/>
  <c r="L59" i="6"/>
  <c r="L60" i="6"/>
  <c r="L61" i="6"/>
  <c r="L62" i="6"/>
  <c r="L63" i="6"/>
  <c r="L64" i="6"/>
  <c r="L65" i="6"/>
  <c r="L66"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L5" i="6"/>
  <c r="L6" i="6"/>
  <c r="L7" i="6"/>
  <c r="L8" i="6"/>
  <c r="L9" i="6"/>
  <c r="L10" i="6"/>
  <c r="L11" i="6"/>
  <c r="L12" i="6"/>
  <c r="L14" i="6"/>
  <c r="L15" i="6"/>
  <c r="L16" i="6"/>
  <c r="L17" i="6"/>
  <c r="L18" i="6"/>
  <c r="L19" i="6"/>
  <c r="L20" i="6"/>
  <c r="L21" i="6"/>
  <c r="L23" i="6"/>
  <c r="L24" i="6"/>
  <c r="L25" i="6"/>
  <c r="L26" i="6"/>
  <c r="L27" i="6"/>
  <c r="L28" i="6"/>
  <c r="L29" i="6"/>
  <c r="L30" i="6"/>
  <c r="L32" i="6"/>
  <c r="L33" i="6"/>
  <c r="L34" i="6"/>
  <c r="L35" i="6"/>
  <c r="L36" i="6"/>
  <c r="L37" i="6"/>
  <c r="L38" i="6"/>
  <c r="L39" i="6"/>
  <c r="L41" i="6"/>
  <c r="L42" i="6"/>
  <c r="L43" i="6"/>
  <c r="L44" i="6"/>
  <c r="L45" i="6"/>
  <c r="L46" i="6"/>
  <c r="L47" i="6"/>
  <c r="L48" i="6"/>
  <c r="L50" i="6"/>
  <c r="L51" i="6"/>
  <c r="L52" i="6"/>
  <c r="L53" i="6"/>
  <c r="L54" i="6"/>
  <c r="L55" i="6"/>
  <c r="L56" i="6"/>
  <c r="L57" i="6"/>
  <c r="AH8" i="5"/>
  <c r="J11" i="5"/>
  <c r="J8" i="5"/>
  <c r="M8" i="5"/>
  <c r="P8" i="5"/>
  <c r="S8" i="5"/>
  <c r="V8" i="5"/>
  <c r="Y8" i="5"/>
  <c r="AB8" i="5"/>
  <c r="AE8" i="5"/>
  <c r="C19" i="5"/>
  <c r="C22" i="1"/>
  <c r="C21" i="1"/>
  <c r="C17" i="5"/>
  <c r="C16" i="5"/>
  <c r="B6" i="1"/>
  <c r="B4" i="1"/>
  <c r="B6" i="5"/>
  <c r="B4" i="5"/>
  <c r="A1" i="1"/>
  <c r="A1" i="5"/>
  <c r="F29" i="4"/>
  <c r="F26" i="4"/>
  <c r="F23" i="4"/>
  <c r="F20" i="4"/>
  <c r="F17" i="4"/>
  <c r="F14" i="4"/>
  <c r="F11" i="4"/>
  <c r="AH8" i="4"/>
  <c r="AE8" i="4"/>
  <c r="AB8" i="4"/>
  <c r="Y8" i="4"/>
  <c r="V8" i="4"/>
  <c r="S8" i="4"/>
  <c r="P8" i="4"/>
  <c r="M8" i="4"/>
  <c r="J8" i="4"/>
</calcChain>
</file>

<file path=xl/sharedStrings.xml><?xml version="1.0" encoding="utf-8"?>
<sst xmlns="http://schemas.openxmlformats.org/spreadsheetml/2006/main" count="340" uniqueCount="63">
  <si>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</si>
  <si>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History:</t>
  </si>
  <si>
    <t>Modifications: None (original version).</t>
  </si>
  <si>
    <t>Match:</t>
  </si>
  <si>
    <t>Mismatch:</t>
  </si>
  <si>
    <t>Gap:</t>
  </si>
  <si>
    <t>A</t>
  </si>
  <si>
    <t>C</t>
  </si>
  <si>
    <t>G</t>
  </si>
  <si>
    <t>Terms and Conditions:</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</si>
  <si>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</si>
  <si>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Give the modified version a title distinct from that of the existing document, and from all previous versions listed in the "History" section.</t>
  </si>
  <si>
    <t>• In the line immediately below the title, replace the existing text (if any) with the text "© YEAR  NAME", where YEAR is the year of the modification and NAME is your name.  If you would prefer not to copyright your version, then simply leave that line blank.</t>
  </si>
  <si>
    <t>• Immediately below the new copyright line (even if you left it blank), add or retain the lines:</t>
  </si>
  <si>
    <t>See end of document for full modification history</t>
  </si>
  <si>
    <t>• Retain this "Terms and Conditions" section unchanged.</t>
  </si>
  <si>
    <t>• Add to the "History" section an item that includes at least the date, title, author(s), and a description of the modifications, while retaining all previous entries in that section.</t>
  </si>
  <si>
    <t>Alignment Score:</t>
  </si>
  <si>
    <t>MaxScore</t>
  </si>
  <si>
    <t>ß</t>
  </si>
  <si>
    <t>ã</t>
  </si>
  <si>
    <t>á</t>
  </si>
  <si>
    <t>Starting Cell:</t>
  </si>
  <si>
    <t>E?</t>
  </si>
  <si>
    <t>S?</t>
  </si>
  <si>
    <t>SE?</t>
  </si>
  <si>
    <t>Seq 1</t>
  </si>
  <si>
    <t>Seq 2</t>
  </si>
  <si>
    <t># best alignments</t>
  </si>
  <si>
    <t>Next cell in alignment:</t>
  </si>
  <si>
    <t>Seq1 so far:</t>
  </si>
  <si>
    <t>Seq2 so far:</t>
  </si>
  <si>
    <t>Row</t>
  </si>
  <si>
    <t>Start?</t>
  </si>
  <si>
    <t>Col</t>
  </si>
  <si>
    <t>Proposed Alignment</t>
  </si>
  <si>
    <t>-</t>
  </si>
  <si>
    <t>Semiglobal: offset from $I$5</t>
  </si>
  <si>
    <t>Local: offset from $I$5</t>
  </si>
  <si>
    <t>Alignment</t>
  </si>
  <si>
    <t>Legend:</t>
  </si>
  <si>
    <r>
      <t>á</t>
    </r>
    <r>
      <rPr>
        <sz val="10"/>
        <color theme="1"/>
        <rFont val="Arial"/>
      </rPr>
      <t/>
    </r>
  </si>
  <si>
    <t>Match between sequences</t>
  </si>
  <si>
    <t>Mismatch between sequences</t>
  </si>
  <si>
    <t>Gap Penalty:</t>
  </si>
  <si>
    <t>Match Bonus:</t>
  </si>
  <si>
    <t>Mismatch Penalty:</t>
  </si>
  <si>
    <t>–</t>
  </si>
  <si>
    <t>T</t>
  </si>
  <si>
    <t xml:space="preserve">To reset a 2x2 block in the traceback matrix, copy and paste the block at right.  </t>
  </si>
  <si>
    <t>Do NOT paste into multiple blocks at once, as this will overwrite hidden equations.</t>
  </si>
  <si>
    <t>Length of subject sequence:</t>
  </si>
  <si>
    <t>Length of query sequence:</t>
  </si>
  <si>
    <t>Subject sequence:</t>
  </si>
  <si>
    <t>Query sequence:</t>
  </si>
  <si>
    <t>GACGCAGT</t>
  </si>
  <si>
    <t>-ACCCA-T</t>
  </si>
  <si>
    <r>
      <t xml:space="preserve">Original version: </t>
    </r>
    <r>
      <rPr>
        <i/>
        <sz val="12"/>
        <rFont val="Times"/>
      </rPr>
      <t>Dynamic Programming 1.0</t>
    </r>
    <r>
      <rPr>
        <sz val="12"/>
        <rFont val="Times"/>
      </rPr>
      <t xml:space="preserve">  © 2014 Anton E. Weisstein</t>
    </r>
  </si>
  <si>
    <t>Date: Aug. 19, 2014</t>
  </si>
  <si>
    <r>
      <t xml:space="preserve">Title: </t>
    </r>
    <r>
      <rPr>
        <i/>
        <sz val="12"/>
        <rFont val="Times"/>
      </rPr>
      <t>Dynamic Programming 1.0</t>
    </r>
  </si>
  <si>
    <t>Name: Anton E. Weisstein</t>
  </si>
  <si>
    <t>Institution: Washington University and Truman State University</t>
  </si>
  <si>
    <t>Acknowledgements: This work was supported by a Freiburg Visiting Scholarship
                                  provided by Washington University in St. Louis.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</si>
</sst>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0"/>
      <name val="Arial"/>
    </font>
    <font>
      <b/>
      <sz val="12"/>
      <color indexed="8"/>
      <name val="Times"/>
    </font>
    <font>
      <sz val="8"/>
      <name val="Verdana"/>
    </font>
    <font>
      <sz val="12"/>
      <name val="Times"/>
    </font>
    <font>
      <i/>
      <sz val="12"/>
      <name val="Times"/>
    </font>
    <font>
      <sz val="12"/>
      <color indexed="8"/>
      <name val="Times"/>
    </font>
    <font>
      <b/>
      <sz val="12"/>
      <name val="Times"/>
    </font>
    <font>
      <sz val="10"/>
      <color rgb="FFFFFFBE"/>
      <name val="Arial"/>
    </font>
    <font>
      <sz val="10"/>
      <color rgb="FF000000"/>
      <name val="Geneva"/>
    </font>
    <font>
      <u/>
      <sz val="10"/>
      <color theme="10"/>
      <name val="Arial"/>
    </font>
    <font>
      <u/>
      <sz val="10"/>
      <color theme="11"/>
      <name val="Arial"/>
    </font>
    <font>
      <b/>
      <sz val="10"/>
      <color theme="0"/>
      <name val="Arial"/>
    </font>
    <font>
      <sz val="10"/>
      <color theme="0" tint="-0.34998626667073579"/>
      <name val="Arial"/>
    </font>
    <font>
      <sz val="10"/>
      <color theme="0" tint="-0.249977111117893"/>
      <name val="Arial"/>
    </font>
    <font>
      <sz val="12"/>
      <name val="Wingdings"/>
    </font>
    <font>
      <sz val="10"/>
      <color theme="0" tint="-0.34998626667073579"/>
      <name val="Wingdings"/>
    </font>
    <font>
      <sz val="10"/>
      <name val="Courier"/>
    </font>
    <font>
      <sz val="10"/>
      <color theme="1"/>
      <name val="Wingdings"/>
    </font>
    <font>
      <sz val="10"/>
      <color rgb="FFBFBFBF"/>
      <name val="Arial"/>
    </font>
    <font>
      <sz val="14"/>
      <name val="Arial"/>
    </font>
    <font>
      <sz val="10"/>
      <color theme="0"/>
      <name val="Arial"/>
    </font>
    <font>
      <sz val="10"/>
      <color theme="1"/>
      <name val="Arial"/>
    </font>
  </fonts>
  <fills count="7">
    <fill>
      <patternFill patternType="none"/>
    </fill>
    <fill>
      <patternFill patternType="gray125"/>
    </fill>
    <fill>
      <patternFill patternType="solid">
        <fgColor indexed="44"/>
        <bgColor indexed="64"/>
      </patternFill>
    </fill>
    <fill>
      <patternFill patternType="solid">
        <fgColor rgb="FF000055"/>
        <bgColor indexed="64"/>
      </patternFill>
    </fill>
    <fill>
      <patternFill patternType="solid">
        <fgColor rgb="FFDFBCFF"/>
        <bgColor indexed="64"/>
      </patternFill>
    </fill>
    <fill>
      <patternFill patternType="solid">
        <fgColor rgb="FF9418FF"/>
        <bgColor indexed="64"/>
      </patternFill>
    </fill>
    <fill>
      <patternFill patternType="solid">
        <fgColor rgb="FFFFFFBE"/>
        <bgColor indexed="64"/>
      </patternFill>
    </fill>
  </fills>
  <borders count="46">
    <border>
      <left/>
      <right/>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rgb="FFFFFFBE"/>
      </right>
      <top/>
      <bottom/>
      <diagonal/>
    </border>
    <border>
      <left style="thin">
        <color rgb="FFFFFFBE"/>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rgb="FFFFFFBE"/>
      </right>
      <top style="thick">
        <color auto="1"/>
      </top>
      <bottom/>
      <diagonal/>
    </border>
    <border>
      <left style="thin">
        <color rgb="FFFFFFBE"/>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97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57">
    <xf numFmtId="0" fontId="0" fillId="0" borderId="0" xfId="0"/>
    <xf numFmtId="0" fontId="0" fillId="0" borderId="0" xfId="0" applyBorder="1"/>
    <xf numFmtId="0" fontId="0" fillId="0" borderId="3" xfId="0" applyBorder="1"/>
    <xf numFmtId="0" fontId="2" fillId="0" borderId="6" xfId="0" applyFont="1" applyBorder="1" applyAlignment="1">
      <alignment wrapText="1"/>
    </xf>
    <xf numFmtId="0" fontId="4" fillId="0" borderId="7" xfId="0" applyFont="1" applyBorder="1" applyAlignment="1">
      <alignment wrapText="1"/>
    </xf>
    <xf numFmtId="0" fontId="4" fillId="0" borderId="7" xfId="0" applyFont="1" applyBorder="1" applyAlignment="1">
      <alignment horizontal="left" wrapText="1" indent="1"/>
    </xf>
    <xf numFmtId="0" fontId="4" fillId="0" borderId="7" xfId="0" applyFont="1" applyBorder="1" applyAlignment="1">
      <alignment horizontal="center" wrapText="1"/>
    </xf>
    <xf numFmtId="0" fontId="6" fillId="0" borderId="7" xfId="0" applyFont="1" applyBorder="1" applyAlignment="1">
      <alignment wrapText="1"/>
    </xf>
    <xf numFmtId="0" fontId="2" fillId="0" borderId="7" xfId="0" applyFont="1" applyBorder="1" applyAlignment="1">
      <alignment wrapText="1"/>
    </xf>
    <xf numFmtId="0" fontId="7" fillId="0" borderId="7" xfId="0" applyFont="1" applyBorder="1" applyAlignment="1">
      <alignment wrapText="1"/>
    </xf>
    <xf numFmtId="0" fontId="4" fillId="0" borderId="8" xfId="0" applyFont="1" applyBorder="1" applyAlignment="1">
      <alignment wrapText="1"/>
    </xf>
    <xf numFmtId="0" fontId="0" fillId="0" borderId="0" xfId="0" applyFill="1" applyBorder="1"/>
    <xf numFmtId="0" fontId="0" fillId="0" borderId="9" xfId="0" applyBorder="1"/>
    <xf numFmtId="0" fontId="0" fillId="0" borderId="4" xfId="0" applyBorder="1"/>
    <xf numFmtId="0" fontId="0" fillId="0" borderId="10" xfId="0" applyBorder="1"/>
    <xf numFmtId="0" fontId="0" fillId="0" borderId="11" xfId="0" applyBorder="1"/>
    <xf numFmtId="0" fontId="0" fillId="0" borderId="5" xfId="0" applyBorder="1"/>
    <xf numFmtId="0" fontId="1" fillId="2" borderId="0" xfId="0" applyFont="1" applyFill="1" applyBorder="1"/>
    <xf numFmtId="0" fontId="1" fillId="0" borderId="10" xfId="0" applyFont="1" applyBorder="1"/>
    <xf numFmtId="0" fontId="1" fillId="0" borderId="11" xfId="0" applyFont="1" applyBorder="1"/>
    <xf numFmtId="0" fontId="1" fillId="0" borderId="5" xfId="0" applyFont="1" applyBorder="1"/>
    <xf numFmtId="0" fontId="0" fillId="2" borderId="14" xfId="0" applyFill="1" applyBorder="1"/>
    <xf numFmtId="0" fontId="0" fillId="2" borderId="15" xfId="0" applyFill="1" applyBorder="1"/>
    <xf numFmtId="0" fontId="0" fillId="2" borderId="16" xfId="0" applyFill="1" applyBorder="1"/>
    <xf numFmtId="0" fontId="0" fillId="3" borderId="4" xfId="0" applyFill="1" applyBorder="1"/>
    <xf numFmtId="0" fontId="1" fillId="3" borderId="2" xfId="0" applyFont="1" applyFill="1" applyBorder="1"/>
    <xf numFmtId="0" fontId="1" fillId="3" borderId="5" xfId="0" applyFont="1" applyFill="1" applyBorder="1"/>
    <xf numFmtId="0" fontId="0" fillId="3" borderId="10" xfId="0" applyFill="1" applyBorder="1"/>
    <xf numFmtId="0" fontId="1" fillId="3" borderId="11" xfId="0" applyFont="1" applyFill="1" applyBorder="1"/>
    <xf numFmtId="0" fontId="13" fillId="0" borderId="1" xfId="0" applyFont="1" applyBorder="1"/>
    <xf numFmtId="0" fontId="13" fillId="0" borderId="9" xfId="0" applyFont="1" applyBorder="1"/>
    <xf numFmtId="0" fontId="13" fillId="0" borderId="3" xfId="0" applyFont="1" applyBorder="1"/>
    <xf numFmtId="0" fontId="15" fillId="0" borderId="0" xfId="0" applyFont="1" applyAlignment="1">
      <alignment vertical="center"/>
    </xf>
    <xf numFmtId="0" fontId="0" fillId="0" borderId="0" xfId="0" applyAlignment="1">
      <alignment horizontal="right"/>
    </xf>
    <xf numFmtId="0" fontId="0" fillId="0" borderId="0" xfId="0" applyBorder="1" applyAlignment="1">
      <alignment horizontal="right"/>
    </xf>
    <xf numFmtId="0" fontId="17" fillId="0" borderId="0" xfId="0" applyFont="1" applyBorder="1" applyAlignment="1">
      <alignment horizontal="right"/>
    </xf>
    <xf numFmtId="0" fontId="0" fillId="0" borderId="0" xfId="0" applyFill="1"/>
    <xf numFmtId="0" fontId="0" fillId="4" borderId="20" xfId="0" applyFill="1" applyBorder="1"/>
    <xf numFmtId="0" fontId="0" fillId="0" borderId="3" xfId="0" applyFill="1" applyBorder="1"/>
    <xf numFmtId="0" fontId="1" fillId="0" borderId="0" xfId="0" applyFont="1" applyFill="1" applyBorder="1"/>
    <xf numFmtId="0" fontId="0" fillId="0" borderId="11" xfId="0" applyFill="1" applyBorder="1"/>
    <xf numFmtId="0" fontId="0" fillId="0" borderId="17" xfId="0" applyBorder="1"/>
    <xf numFmtId="0" fontId="0" fillId="0" borderId="21" xfId="0" applyBorder="1"/>
    <xf numFmtId="0" fontId="0" fillId="0" borderId="18" xfId="0" applyBorder="1"/>
    <xf numFmtId="0" fontId="0" fillId="0" borderId="18" xfId="0" applyFill="1" applyBorder="1"/>
    <xf numFmtId="0" fontId="0" fillId="4" borderId="23" xfId="0" applyFill="1" applyBorder="1"/>
    <xf numFmtId="0" fontId="0" fillId="4" borderId="24" xfId="0" applyFill="1" applyBorder="1"/>
    <xf numFmtId="0" fontId="0" fillId="4" borderId="25" xfId="0" applyFill="1" applyBorder="1"/>
    <xf numFmtId="0" fontId="0" fillId="0" borderId="19" xfId="0" applyBorder="1"/>
    <xf numFmtId="0" fontId="0" fillId="0" borderId="22" xfId="0" applyBorder="1"/>
    <xf numFmtId="0" fontId="0" fillId="0" borderId="20" xfId="0" applyBorder="1"/>
    <xf numFmtId="0" fontId="16" fillId="0" borderId="17" xfId="0" applyFont="1" applyBorder="1"/>
    <xf numFmtId="0" fontId="16" fillId="0" borderId="18" xfId="0" applyFont="1" applyBorder="1"/>
    <xf numFmtId="0" fontId="16" fillId="0" borderId="19" xfId="0" applyFont="1" applyBorder="1"/>
    <xf numFmtId="0" fontId="0" fillId="0" borderId="0" xfId="0" applyNumberFormat="1" applyBorder="1"/>
    <xf numFmtId="0" fontId="1" fillId="0" borderId="0" xfId="0" applyFont="1"/>
    <xf numFmtId="0" fontId="1" fillId="0" borderId="0" xfId="0" applyFont="1" applyBorder="1"/>
    <xf numFmtId="0" fontId="14" fillId="0" borderId="0" xfId="0" applyFont="1" applyBorder="1"/>
    <xf numFmtId="0" fontId="19" fillId="0" borderId="0" xfId="0" applyFont="1"/>
    <xf numFmtId="0" fontId="0" fillId="0" borderId="0" xfId="0" applyFont="1" applyFill="1" applyBorder="1"/>
    <xf numFmtId="0" fontId="8" fillId="0" borderId="12" xfId="0" applyFont="1" applyFill="1" applyBorder="1"/>
    <xf numFmtId="0" fontId="0" fillId="0" borderId="13" xfId="0" applyFill="1" applyBorder="1"/>
    <xf numFmtId="0" fontId="20" fillId="0" borderId="0" xfId="0" applyFont="1" applyFill="1" applyBorder="1"/>
    <xf numFmtId="0" fontId="0" fillId="0" borderId="27" xfId="0" applyBorder="1"/>
    <xf numFmtId="0" fontId="0" fillId="0" borderId="0" xfId="0" applyFont="1" applyBorder="1"/>
    <xf numFmtId="0" fontId="0" fillId="0" borderId="0" xfId="0" applyFont="1"/>
    <xf numFmtId="0" fontId="21" fillId="0" borderId="9" xfId="0" applyFont="1" applyBorder="1"/>
    <xf numFmtId="0" fontId="21" fillId="0" borderId="3" xfId="0" applyFont="1" applyBorder="1"/>
    <xf numFmtId="0" fontId="21" fillId="3" borderId="4" xfId="0" applyFont="1" applyFill="1" applyBorder="1"/>
    <xf numFmtId="0" fontId="17" fillId="0" borderId="23" xfId="0" applyFont="1" applyBorder="1"/>
    <xf numFmtId="0" fontId="17" fillId="0" borderId="19" xfId="0" applyFont="1" applyBorder="1"/>
    <xf numFmtId="0" fontId="18" fillId="0" borderId="0" xfId="0" applyFont="1" applyBorder="1"/>
    <xf numFmtId="0" fontId="1" fillId="0" borderId="29" xfId="0" applyFont="1" applyBorder="1"/>
    <xf numFmtId="0" fontId="1" fillId="0" borderId="30" xfId="0" applyFont="1" applyBorder="1"/>
    <xf numFmtId="0" fontId="1" fillId="0" borderId="31" xfId="0" applyFont="1" applyBorder="1"/>
    <xf numFmtId="0" fontId="0" fillId="0" borderId="0" xfId="0" applyBorder="1" applyAlignment="1"/>
    <xf numFmtId="0" fontId="17" fillId="0" borderId="0" xfId="0" applyFont="1" applyBorder="1" applyAlignment="1"/>
    <xf numFmtId="0" fontId="0" fillId="0" borderId="35" xfId="0" applyFill="1" applyBorder="1"/>
    <xf numFmtId="0" fontId="0" fillId="0" borderId="36" xfId="0" applyFill="1" applyBorder="1"/>
    <xf numFmtId="0" fontId="0" fillId="0" borderId="37" xfId="0" applyFill="1" applyBorder="1"/>
    <xf numFmtId="0" fontId="0" fillId="0" borderId="38" xfId="0" applyFill="1" applyBorder="1"/>
    <xf numFmtId="0" fontId="0" fillId="0" borderId="39" xfId="0" applyFill="1" applyBorder="1"/>
    <xf numFmtId="0" fontId="0" fillId="0" borderId="40" xfId="0" applyFill="1" applyBorder="1"/>
    <xf numFmtId="0" fontId="8" fillId="6" borderId="41" xfId="0" applyFont="1" applyFill="1" applyBorder="1"/>
    <xf numFmtId="0" fontId="0" fillId="6" borderId="42" xfId="0" applyFont="1" applyFill="1" applyBorder="1"/>
    <xf numFmtId="0" fontId="0" fillId="6" borderId="37" xfId="0" applyFont="1" applyFill="1" applyBorder="1"/>
    <xf numFmtId="0" fontId="0" fillId="6" borderId="38" xfId="0" applyFont="1" applyFill="1" applyBorder="1"/>
    <xf numFmtId="0" fontId="0" fillId="6" borderId="39" xfId="0" applyFont="1" applyFill="1" applyBorder="1"/>
    <xf numFmtId="0" fontId="0" fillId="6" borderId="40" xfId="0" applyFont="1" applyFill="1" applyBorder="1"/>
    <xf numFmtId="0" fontId="0" fillId="4" borderId="32" xfId="0" applyFill="1" applyBorder="1"/>
    <xf numFmtId="0" fontId="0" fillId="0" borderId="37" xfId="0" applyBorder="1"/>
    <xf numFmtId="0" fontId="18" fillId="0" borderId="35" xfId="0" applyFont="1" applyBorder="1"/>
    <xf numFmtId="0" fontId="18" fillId="0" borderId="36" xfId="0" applyFont="1" applyBorder="1"/>
    <xf numFmtId="0" fontId="18" fillId="0" borderId="39" xfId="0" applyFont="1" applyBorder="1"/>
    <xf numFmtId="0" fontId="12" fillId="5" borderId="40" xfId="0" applyFont="1" applyFill="1" applyBorder="1"/>
    <xf numFmtId="0" fontId="0" fillId="4" borderId="45" xfId="0" applyFill="1" applyBorder="1" applyAlignment="1">
      <alignment horizontal="right"/>
    </xf>
    <xf numFmtId="0" fontId="0" fillId="4" borderId="33" xfId="0" applyFill="1" applyBorder="1" applyAlignment="1">
      <alignment horizontal="right" vertical="center"/>
    </xf>
    <xf numFmtId="0" fontId="0" fillId="4" borderId="43" xfId="0" applyFill="1" applyBorder="1" applyAlignment="1">
      <alignment horizontal="right"/>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4" borderId="4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28" xfId="0" applyFont="1" applyBorder="1" applyAlignment="1">
      <alignment horizontal="right" vertical="top" textRotation="180"/>
    </xf>
    <xf numFmtId="0" fontId="0" fillId="0" borderId="28" xfId="0" applyBorder="1" applyAlignment="1">
      <alignment horizontal="right" vertical="top" textRotation="180"/>
    </xf>
    <xf numFmtId="0" fontId="0" fillId="0" borderId="28" xfId="0" applyBorder="1" applyAlignment="1">
      <alignment textRotation="180"/>
    </xf>
    <xf numFmtId="0" fontId="0" fillId="4" borderId="33" xfId="0" applyFill="1" applyBorder="1" applyAlignment="1">
      <alignment horizontal="right" vertical="center"/>
    </xf>
    <xf numFmtId="0" fontId="0" fillId="0" borderId="34" xfId="0" applyBorder="1" applyAlignment="1">
      <alignment horizontal="right" vertical="center"/>
    </xf>
    <xf numFmtId="0" fontId="0" fillId="4" borderId="43" xfId="0" applyFill="1" applyBorder="1" applyAlignment="1">
      <alignment horizontal="right"/>
    </xf>
    <xf numFmtId="0" fontId="0" fillId="0" borderId="45" xfId="0" applyBorder="1" applyAlignment="1">
      <alignment horizontal="right"/>
    </xf>
    <xf numFmtId="0" fontId="0" fillId="0" borderId="33" xfId="0" applyBorder="1" applyAlignment="1">
      <alignment horizontal="right" vertical="center"/>
    </xf>
    <xf numFmtId="0" fontId="0" fillId="0" borderId="43" xfId="0" applyFill="1" applyBorder="1" applyAlignment="1">
      <alignment horizontal="right"/>
    </xf>
    <xf numFmtId="0" fontId="0" fillId="0" borderId="44" xfId="0" applyFill="1" applyBorder="1" applyAlignment="1">
      <alignment horizontal="right"/>
    </xf>
    <xf numFmtId="0" fontId="0" fillId="0" borderId="44" xfId="0" applyBorder="1" applyAlignment="1">
      <alignment horizontal="right"/>
    </xf>
    <xf numFmtId="0" fontId="1" fillId="0" borderId="9"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1"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49" fontId="17" fillId="0" borderId="33" xfId="0" quotePrefix="1" applyNumberFormat="1" applyFont="1" applyBorder="1" applyAlignment="1"/>
    <xf numFmtId="49" fontId="0" fillId="0" borderId="34" xfId="0" applyNumberFormat="1" applyBorder="1" applyAlignment="1"/>
    <xf numFmtId="0" fontId="0" fillId="0" borderId="9" xfId="0" applyBorder="1" applyAlignment="1"/>
    <xf numFmtId="0" fontId="0" fillId="0" borderId="3" xfId="0" applyBorder="1" applyAlignment="1"/>
    <xf numFmtId="0" fontId="0" fillId="0" borderId="10" xfId="0" applyBorder="1" applyAlignment="1"/>
    <xf numFmtId="0" fontId="0" fillId="0" borderId="11" xfId="0" applyBorder="1" applyAlignment="1"/>
    <xf numFmtId="0" fontId="17" fillId="0" borderId="9" xfId="0" quotePrefix="1" applyNumberFormat="1" applyFont="1" applyBorder="1" applyAlignment="1"/>
    <xf numFmtId="0" fontId="0" fillId="0" borderId="4" xfId="0" applyNumberFormat="1" applyBorder="1" applyAlignment="1"/>
    <xf numFmtId="0" fontId="17" fillId="0" borderId="10" xfId="0" quotePrefix="1" applyNumberFormat="1" applyFont="1" applyBorder="1" applyAlignment="1"/>
    <xf numFmtId="0" fontId="0" fillId="0" borderId="5" xfId="0" applyNumberFormat="1" applyBorder="1" applyAlignment="1"/>
    <xf numFmtId="0" fontId="1" fillId="0" borderId="22" xfId="0" applyFont="1" applyBorder="1" applyAlignment="1"/>
    <xf numFmtId="0" fontId="0" fillId="0" borderId="22" xfId="0" applyBorder="1" applyAlignment="1"/>
    <xf numFmtId="0" fontId="0" fillId="4" borderId="17" xfId="0" applyFill="1" applyBorder="1" applyAlignment="1"/>
    <xf numFmtId="0" fontId="0" fillId="4" borderId="21" xfId="0" applyFill="1" applyBorder="1" applyAlignment="1"/>
    <xf numFmtId="0" fontId="0" fillId="0" borderId="26" xfId="0" applyBorder="1" applyAlignment="1"/>
    <xf numFmtId="0" fontId="0" fillId="4" borderId="26" xfId="0" applyFill="1" applyBorder="1" applyAlignment="1"/>
    <xf numFmtId="0" fontId="1"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17"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2" borderId="10" xfId="0" applyFill="1" applyBorder="1" applyAlignment="1"/>
    <xf numFmtId="0" fontId="0" fillId="0" borderId="5" xfId="0" applyBorder="1" applyAlignment="1"/>
    <xf numFmtId="0" fontId="1" fillId="0" borderId="0" xfId="0" applyFont="1" applyBorder="1" applyAlignment="1">
      <alignment horizontal="right" vertical="top" textRotation="180"/>
    </xf>
    <xf numFmtId="0" fontId="4" fillId="0" borderId="7" xfId="0" applyFont="1" applyBorder="1" applyAlignment="1">
      <alignment horizontal="left" wrapText="1"/>
    </xf>
    <xf numFmtId="0" fontId="0" fillId="0" borderId="0" xfId="0" applyFont="1" applyAlignment="1">
      <alignment horizontal="right" vertical="top"/>
    </xf>
  </cellXfs>
  <cellStyles count="9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Normal" xfId="0" builtinId="0"/>
  </cellStyles>
  <dxfs count="795">
    <dxf>
      <font>
        <strike val="0"/>
        <color theme="1"/>
      </font>
      <fill>
        <patternFill patternType="solid">
          <fgColor indexed="64"/>
          <bgColor rgb="FFCCFFCC"/>
        </patternFill>
      </fill>
      <border>
        <left style="thin">
          <color rgb="FF008000"/>
        </left>
        <right style="thin">
          <color rgb="FF008000"/>
        </right>
        <top style="thin">
          <color rgb="FF008000"/>
        </top>
        <bottom style="thin">
          <color rgb="FF008000"/>
        </bottom>
      </border>
    </dxf>
    <dxf>
      <font>
        <strike val="0"/>
        <color theme="1"/>
      </font>
      <fill>
        <patternFill patternType="solid">
          <fgColor indexed="64"/>
          <bgColor rgb="FFA3CEFF"/>
        </patternFill>
      </fill>
      <border>
        <left style="thin">
          <color rgb="FF0000FF"/>
        </left>
        <right style="thin">
          <color rgb="FF0000FF"/>
        </right>
        <top style="thin">
          <color rgb="FF0000FF"/>
        </top>
        <bottom style="thin">
          <color rgb="FF0000FF"/>
        </bottom>
      </border>
    </dxf>
    <dxf>
      <font>
        <b/>
        <i val="0"/>
        <strike val="0"/>
        <color theme="0"/>
      </font>
      <fill>
        <patternFill patternType="solid">
          <fgColor indexed="64"/>
          <bgColor rgb="FFFF00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theme="0"/>
      </font>
      <fill>
        <patternFill patternType="solid">
          <fgColor indexed="64"/>
          <bgColor rgb="FF9418FF"/>
        </patternFill>
      </fill>
    </dxf>
    <dxf>
      <font>
        <strike val="0"/>
        <color auto="1"/>
      </font>
      <fill>
        <patternFill patternType="solid">
          <fgColor indexed="64"/>
          <bgColor rgb="FF0061FF"/>
        </patternFill>
      </fill>
    </dxf>
    <dxf>
      <font>
        <strike val="0"/>
        <color auto="1"/>
      </font>
      <fill>
        <patternFill patternType="solid">
          <fgColor indexed="64"/>
          <bgColor rgb="FF08AA00"/>
        </patternFill>
      </fill>
    </dxf>
    <dxf>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theme="0"/>
      </font>
      <fill>
        <patternFill patternType="solid">
          <fgColor indexed="64"/>
          <bgColor rgb="FF9418FF"/>
        </patternFill>
      </fill>
    </dxf>
    <dxf>
      <font>
        <strike val="0"/>
        <color auto="1"/>
      </font>
      <fill>
        <patternFill patternType="solid">
          <fgColor indexed="64"/>
          <bgColor rgb="FF0061FF"/>
        </patternFill>
      </fill>
    </dxf>
    <dxf>
      <font>
        <strike val="0"/>
        <color auto="1"/>
      </font>
      <fill>
        <patternFill patternType="solid">
          <fgColor indexed="64"/>
          <bgColor rgb="FF08AA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theme="0"/>
      </font>
      <fill>
        <patternFill patternType="solid">
          <fgColor indexed="64"/>
          <bgColor rgb="FF9418FF"/>
        </patternFill>
      </fill>
    </dxf>
    <dxf>
      <font>
        <strike val="0"/>
        <color auto="1"/>
      </font>
      <fill>
        <patternFill patternType="solid">
          <fgColor indexed="64"/>
          <bgColor rgb="FF0061FF"/>
        </patternFill>
      </fill>
    </dxf>
    <dxf>
      <font>
        <strike val="0"/>
        <color auto="1"/>
      </font>
      <fill>
        <patternFill patternType="solid">
          <fgColor indexed="64"/>
          <bgColor rgb="FF08AA00"/>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30006E"/>
        </patternFill>
      </fill>
    </dxf>
    <dxf>
      <font>
        <strike val="0"/>
        <color auto="1"/>
      </font>
      <fill>
        <patternFill patternType="solid">
          <fgColor indexed="64"/>
          <bgColor rgb="FF022800"/>
        </patternFill>
      </fill>
    </dxf>
    <dxf>
      <font>
        <strike val="0"/>
        <color theme="0"/>
      </font>
      <fill>
        <patternFill patternType="solid">
          <fgColor indexed="64"/>
          <bgColor rgb="FF9418FF"/>
        </patternFill>
      </fill>
    </dxf>
    <dxf>
      <font>
        <strike val="0"/>
        <color auto="1"/>
      </font>
      <fill>
        <patternFill patternType="solid">
          <fgColor indexed="64"/>
          <bgColor rgb="FF0061FF"/>
        </patternFill>
      </fill>
    </dxf>
    <dxf>
      <font>
        <strike val="0"/>
        <color auto="1"/>
      </font>
      <fill>
        <patternFill patternType="solid">
          <fgColor indexed="64"/>
          <bgColor rgb="FF08AA00"/>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1DF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rgb="FF09BA00"/>
      </font>
      <fill>
        <patternFill patternType="solid">
          <fgColor indexed="64"/>
          <bgColor rgb="FFF0FFEF"/>
        </patternFill>
      </fill>
    </dxf>
    <dxf>
      <font>
        <strike val="0"/>
        <color rgb="FF3366FF"/>
      </font>
      <fill>
        <patternFill patternType="solid">
          <fgColor indexed="64"/>
          <bgColor rgb="FFEFEFFF"/>
        </patternFill>
      </fill>
    </dxf>
    <dxf>
      <font>
        <strike val="0"/>
        <color rgb="FFC07CFF"/>
      </font>
      <fill>
        <patternFill patternType="solid">
          <fgColor indexed="64"/>
          <bgColor rgb="FFF7EEFF"/>
        </patternFill>
      </fill>
    </dxf>
    <dxf>
      <font>
        <b/>
        <i val="0"/>
        <strike val="0"/>
        <color rgb="FF008000"/>
      </font>
      <fill>
        <patternFill patternType="solid">
          <fgColor indexed="64"/>
          <bgColor rgb="FFA4FFA0"/>
        </patternFill>
      </fill>
    </dxf>
    <dxf>
      <font>
        <b/>
        <i val="0"/>
        <strike val="0"/>
        <color rgb="FF0000FF"/>
      </font>
      <fill>
        <patternFill patternType="solid">
          <fgColor indexed="64"/>
          <bgColor rgb="FFA39D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rgb="FF09BA00"/>
      </font>
      <fill>
        <patternFill patternType="solid">
          <fgColor indexed="64"/>
          <bgColor rgb="FFF0FFEF"/>
        </patternFill>
      </fill>
    </dxf>
    <dxf>
      <font>
        <b/>
        <i val="0"/>
        <strike val="0"/>
        <color rgb="FF008000"/>
      </font>
      <fill>
        <patternFill patternType="solid">
          <fgColor indexed="64"/>
          <bgColor rgb="FFA4FFA0"/>
        </patternFill>
      </fill>
    </dxf>
    <dxf>
      <font>
        <strike val="0"/>
        <color rgb="FF3366FF"/>
      </font>
      <fill>
        <patternFill patternType="solid">
          <fgColor indexed="64"/>
          <bgColor rgb="FFEFEFFF"/>
        </patternFill>
      </fill>
    </dxf>
    <dxf>
      <font>
        <b/>
        <i val="0"/>
        <strike val="0"/>
        <color rgb="FF0000FF"/>
      </font>
      <fill>
        <patternFill patternType="solid">
          <fgColor indexed="64"/>
          <bgColor rgb="FFA39DFF"/>
        </patternFill>
      </fill>
    </dxf>
    <dxf>
      <font>
        <strike val="0"/>
        <color rgb="FFC07CFF"/>
      </font>
      <fill>
        <patternFill patternType="solid">
          <fgColor indexed="64"/>
          <bgColor rgb="FFF7EEFF"/>
        </patternFill>
      </fill>
    </dxf>
    <dxf>
      <font>
        <b/>
        <i val="0"/>
        <strike val="0"/>
        <color rgb="FF6B00FF"/>
      </font>
      <fill>
        <patternFill patternType="solid">
          <fgColor indexed="64"/>
          <bgColor rgb="FFD09C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DFBCFF"/>
        </patternFill>
      </fill>
    </dxf>
    <dxf>
      <font>
        <strike val="0"/>
        <color auto="1"/>
      </font>
      <fill>
        <patternFill patternType="solid">
          <fgColor indexed="64"/>
          <bgColor rgb="FFC1DFFF"/>
        </patternFill>
      </fill>
    </dxf>
    <dxf>
      <font>
        <strike val="0"/>
        <color auto="1"/>
      </font>
      <fill>
        <patternFill patternType="solid">
          <fgColor indexed="64"/>
          <bgColor rgb="FFCCFFCC"/>
        </patternFill>
      </fill>
    </dxf>
    <dxf>
      <font>
        <b/>
        <i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b/>
        <i val="0"/>
        <strike val="0"/>
        <color theme="0"/>
      </font>
      <fill>
        <patternFill patternType="solid">
          <fgColor indexed="64"/>
          <bgColor rgb="FFFF0000"/>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CCFFCC"/>
        </patternFill>
      </fill>
    </dxf>
    <dxf>
      <font>
        <strike val="0"/>
        <color auto="1"/>
      </font>
      <fill>
        <patternFill patternType="solid">
          <fgColor indexed="64"/>
          <bgColor rgb="FFA3CEFF"/>
        </patternFill>
      </fill>
    </dxf>
    <dxf>
      <font>
        <strike val="0"/>
        <color auto="1"/>
      </font>
      <fill>
        <patternFill patternType="solid">
          <fgColor indexed="64"/>
          <bgColor rgb="FFDFBCFF"/>
        </patternFill>
      </fill>
    </dxf>
    <dxf>
      <font>
        <strike val="0"/>
        <color auto="1"/>
      </font>
      <fill>
        <patternFill patternType="solid">
          <fgColor indexed="64"/>
          <bgColor rgb="FFC1DFFF"/>
        </patternFill>
      </fill>
    </dxf>
    <dxf>
      <font>
        <strike val="0"/>
        <color auto="1"/>
      </font>
      <fill>
        <patternFill patternType="solid">
          <fgColor indexed="64"/>
          <bgColor rgb="FFCCFFCC"/>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A$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76200</xdr:rowOff>
        </xdr:from>
        <xdr:to>
          <xdr:col>2</xdr:col>
          <xdr:colOff>0</xdr:colOff>
          <xdr:row>7</xdr:row>
          <xdr:rowOff>0</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1000" b="0" i="0" u="none" strike="noStrike" baseline="0">
                  <a:solidFill>
                    <a:srgbClr val="000000"/>
                  </a:solidFill>
                  <a:latin typeface="Geneva"/>
                  <a:ea typeface="Geneva"/>
                  <a:cs typeface="Geneva"/>
                </a:rPr>
                <a:t>Alignment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xdr:row>
          <xdr:rowOff>101600</xdr:rowOff>
        </xdr:from>
        <xdr:to>
          <xdr:col>1</xdr:col>
          <xdr:colOff>317500</xdr:colOff>
          <xdr:row>3</xdr:row>
          <xdr:rowOff>12700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Global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3</xdr:row>
          <xdr:rowOff>63500</xdr:rowOff>
        </xdr:from>
        <xdr:to>
          <xdr:col>1</xdr:col>
          <xdr:colOff>317500</xdr:colOff>
          <xdr:row>4</xdr:row>
          <xdr:rowOff>127000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Semiglobal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xdr:row>
          <xdr:rowOff>25400</xdr:rowOff>
        </xdr:from>
        <xdr:to>
          <xdr:col>1</xdr:col>
          <xdr:colOff>177800</xdr:colOff>
          <xdr:row>6</xdr:row>
          <xdr:rowOff>101600</xdr:rowOff>
        </xdr:to>
        <xdr:sp macro="" textlink="">
          <xdr:nvSpPr>
            <xdr:cNvPr id="3081" name="Option 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Local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abSelected="1" zoomScale="200" zoomScaleNormal="200" zoomScalePageLayoutView="200" workbookViewId="0">
      <selection activeCell="I2" sqref="I2"/>
    </sheetView>
  </sheetViews>
  <sheetFormatPr baseColWidth="10" defaultColWidth="8.83203125" defaultRowHeight="12" customHeight="1" x14ac:dyDescent="0"/>
  <cols>
    <col min="1" max="1" width="15" style="1" customWidth="1"/>
    <col min="2" max="2" width="7.33203125" style="1" customWidth="1"/>
    <col min="3" max="3" width="5" style="1" customWidth="1"/>
    <col min="4" max="4" width="6" customWidth="1"/>
    <col min="5" max="5" width="2.6640625" customWidth="1"/>
    <col min="6" max="6" width="9.1640625" hidden="1" customWidth="1"/>
    <col min="7" max="7" width="4.6640625" customWidth="1"/>
    <col min="8" max="8" width="4.6640625" hidden="1" customWidth="1"/>
    <col min="9" max="10" width="4.6640625" style="1" customWidth="1"/>
    <col min="11" max="11" width="5.1640625" style="11" hidden="1" customWidth="1"/>
    <col min="12" max="13" width="4.6640625" style="1" customWidth="1"/>
    <col min="14" max="14" width="4.6640625" style="1" hidden="1" customWidth="1"/>
    <col min="15" max="16" width="4.6640625" style="1" customWidth="1"/>
    <col min="17" max="17" width="4.6640625" style="11" hidden="1" customWidth="1"/>
    <col min="18" max="19" width="4.6640625" style="1" customWidth="1"/>
    <col min="20" max="20" width="4.6640625" style="1" hidden="1" customWidth="1"/>
    <col min="21" max="22" width="4.6640625" customWidth="1"/>
    <col min="23" max="23" width="4.6640625" style="36" hidden="1" customWidth="1"/>
    <col min="24" max="25" width="4.6640625" customWidth="1"/>
    <col min="26" max="26" width="4.6640625" hidden="1" customWidth="1"/>
    <col min="27" max="28" width="4.6640625" customWidth="1"/>
    <col min="29" max="29" width="4.6640625" style="36" hidden="1" customWidth="1"/>
    <col min="30" max="31" width="4.6640625" customWidth="1"/>
    <col min="32" max="32" width="4.6640625" hidden="1" customWidth="1"/>
    <col min="33" max="34" width="4.6640625" customWidth="1"/>
    <col min="35" max="35" width="8.1640625" customWidth="1"/>
  </cols>
  <sheetData>
    <row r="1" spans="1:36" ht="16" customHeight="1" thickBot="1">
      <c r="A1" s="11"/>
      <c r="B1" s="11"/>
    </row>
    <row r="2" spans="1:36" ht="12" customHeight="1" thickTop="1">
      <c r="A2" s="83">
        <v>1</v>
      </c>
      <c r="B2" s="84"/>
    </row>
    <row r="3" spans="1:36" s="1" customFormat="1" ht="12" customHeight="1">
      <c r="A3" s="85"/>
      <c r="B3" s="86"/>
      <c r="AI3"/>
      <c r="AJ3"/>
    </row>
    <row r="4" spans="1:36" s="1" customFormat="1" ht="12" customHeight="1">
      <c r="A4" s="85"/>
      <c r="B4" s="86"/>
      <c r="AI4"/>
      <c r="AJ4"/>
    </row>
    <row r="5" spans="1:36" s="1" customFormat="1" ht="12" customHeight="1">
      <c r="A5" s="85"/>
      <c r="B5" s="86"/>
      <c r="AI5"/>
      <c r="AJ5"/>
    </row>
    <row r="6" spans="1:36" s="1" customFormat="1" ht="12" customHeight="1">
      <c r="A6" s="85"/>
      <c r="B6" s="86"/>
      <c r="AI6"/>
      <c r="AJ6"/>
    </row>
    <row r="7" spans="1:36" s="1" customFormat="1" ht="12" customHeight="1" thickBot="1">
      <c r="A7" s="87"/>
      <c r="B7" s="88"/>
      <c r="I7" s="56" t="str">
        <f>'Worksheet 2 - Traceback'!L7</f>
        <v>Subject sequence</v>
      </c>
      <c r="L7" s="56"/>
      <c r="AI7"/>
      <c r="AJ7"/>
    </row>
    <row r="8" spans="1:36" s="1" customFormat="1" ht="12" hidden="1" customHeight="1">
      <c r="A8" s="11"/>
      <c r="B8" s="11"/>
      <c r="F8"/>
      <c r="G8" s="1" t="s">
        <v>18</v>
      </c>
      <c r="J8" s="1">
        <f ca="1">MAX(OFFSET(J$11, 0, 0, 3 + 3*SeqB_Length, 1) )</f>
        <v>0</v>
      </c>
      <c r="K8" s="38"/>
      <c r="L8" s="41"/>
      <c r="M8" s="42">
        <f ca="1">MAX(OFFSET(M$11, 0, 0, 3 + 3*SeqB_Length, 1) )</f>
        <v>-2</v>
      </c>
      <c r="N8" s="43"/>
      <c r="O8" s="41"/>
      <c r="P8" s="42">
        <f ca="1">MAX(OFFSET(P$11, 0, 0, 3 + 3*SeqB_Length, 1) )</f>
        <v>-1</v>
      </c>
      <c r="Q8" s="44"/>
      <c r="R8" s="41"/>
      <c r="S8" s="42">
        <f ca="1">MAX(OFFSET(S$11, 0, 0, 3 + 3*SeqB_Length, 1) )</f>
        <v>4</v>
      </c>
      <c r="T8" s="44"/>
      <c r="U8" s="41"/>
      <c r="V8" s="42">
        <f ca="1">MAX(OFFSET(V$11, 0, 0, 3 + 3*SeqB_Length, 1) )</f>
        <v>2</v>
      </c>
      <c r="W8" s="44"/>
      <c r="X8" s="41"/>
      <c r="Y8" s="42">
        <f ca="1">MAX(OFFSET(Y$11, 0, 0, 3 + 3*SeqB_Length, 1) )</f>
        <v>7</v>
      </c>
      <c r="Z8" s="44"/>
      <c r="AA8" s="41"/>
      <c r="AB8" s="42">
        <f ca="1">MAX(OFFSET(AB$11, 0, 0, 3 + 3*SeqB_Length, 1) )</f>
        <v>12</v>
      </c>
      <c r="AC8" s="44"/>
      <c r="AD8" s="41"/>
      <c r="AE8" s="42">
        <f ca="1">MAX(OFFSET(AE$11, 0, 0, 3 + 3*SeqB_Length, 1) )</f>
        <v>10</v>
      </c>
      <c r="AF8" s="44"/>
      <c r="AG8" s="41"/>
      <c r="AH8" s="43">
        <f ca="1">MAX(OFFSET(AH$11, 0, 0, 3 + 3*SeqB_Length, 1) )</f>
        <v>11</v>
      </c>
      <c r="AI8"/>
      <c r="AJ8"/>
    </row>
    <row r="9" spans="1:36" s="1" customFormat="1" ht="12" customHeight="1" thickTop="1" thickBot="1">
      <c r="A9" s="11"/>
      <c r="B9" s="11"/>
      <c r="F9"/>
      <c r="I9" s="114" t="s">
        <v>47</v>
      </c>
      <c r="J9" s="111"/>
      <c r="K9" s="11"/>
      <c r="L9" s="110" t="s">
        <v>8</v>
      </c>
      <c r="M9" s="111"/>
      <c r="N9" s="97"/>
      <c r="O9" s="110" t="s">
        <v>6</v>
      </c>
      <c r="P9" s="111"/>
      <c r="Q9" s="96"/>
      <c r="R9" s="110" t="s">
        <v>7</v>
      </c>
      <c r="S9" s="111"/>
      <c r="T9" s="96"/>
      <c r="U9" s="110" t="s">
        <v>8</v>
      </c>
      <c r="V9" s="111"/>
      <c r="W9" s="96"/>
      <c r="X9" s="110" t="s">
        <v>7</v>
      </c>
      <c r="Y9" s="111"/>
      <c r="Z9" s="96"/>
      <c r="AA9" s="110" t="s">
        <v>6</v>
      </c>
      <c r="AB9" s="111"/>
      <c r="AC9" s="96"/>
      <c r="AD9" s="110" t="s">
        <v>8</v>
      </c>
      <c r="AE9" s="111"/>
      <c r="AF9" s="96"/>
      <c r="AG9" s="110" t="s">
        <v>48</v>
      </c>
      <c r="AH9" s="111"/>
      <c r="AI9"/>
      <c r="AJ9"/>
    </row>
    <row r="10" spans="1:36" s="1" customFormat="1" ht="12" customHeight="1" thickTop="1">
      <c r="E10" s="154" t="str">
        <f>'Worksheet 2 - Traceback'!F13</f>
        <v>Query sequence</v>
      </c>
      <c r="F10" s="1" t="s">
        <v>18</v>
      </c>
      <c r="G10" s="115" t="s">
        <v>47</v>
      </c>
      <c r="I10" s="98"/>
      <c r="J10" s="99"/>
      <c r="K10" s="100"/>
      <c r="L10" s="98"/>
      <c r="M10" s="99"/>
      <c r="N10" s="100"/>
      <c r="O10" s="98"/>
      <c r="P10" s="99"/>
      <c r="Q10" s="100"/>
      <c r="R10" s="98"/>
      <c r="S10" s="99"/>
      <c r="T10" s="100"/>
      <c r="U10" s="98"/>
      <c r="V10" s="99"/>
      <c r="W10" s="100"/>
      <c r="X10" s="98"/>
      <c r="Y10" s="99"/>
      <c r="Z10" s="100"/>
      <c r="AA10" s="98"/>
      <c r="AB10" s="99"/>
      <c r="AC10" s="100"/>
      <c r="AD10" s="98"/>
      <c r="AE10" s="99"/>
      <c r="AF10" s="100"/>
      <c r="AG10" s="98"/>
      <c r="AH10" s="99"/>
      <c r="AI10"/>
      <c r="AJ10"/>
    </row>
    <row r="11" spans="1:36" s="1" customFormat="1" ht="12" customHeight="1" thickBot="1">
      <c r="E11" s="156"/>
      <c r="F11" s="1">
        <f ca="1">MAX(OFFSET($J11, 0, 0, 1, 3 + 3*SeqA_Length) )</f>
        <v>0</v>
      </c>
      <c r="G11" s="116"/>
      <c r="I11" s="101"/>
      <c r="J11" s="102">
        <f>Solution!H4</f>
        <v>0</v>
      </c>
      <c r="K11" s="100"/>
      <c r="L11" s="101">
        <f>Solution!J4</f>
        <v>-6</v>
      </c>
      <c r="M11" s="102">
        <f>Solution!K4</f>
        <v>-6</v>
      </c>
      <c r="N11" s="100"/>
      <c r="O11" s="101">
        <f>Solution!M4</f>
        <v>-12</v>
      </c>
      <c r="P11" s="102">
        <f>Solution!N4</f>
        <v>-12</v>
      </c>
      <c r="Q11" s="100"/>
      <c r="R11" s="101"/>
      <c r="S11" s="102">
        <f>Solution!Q4</f>
        <v>-18</v>
      </c>
      <c r="T11" s="100"/>
      <c r="U11" s="101"/>
      <c r="V11" s="102">
        <f>Solution!T4</f>
        <v>-24</v>
      </c>
      <c r="W11" s="100"/>
      <c r="X11" s="101"/>
      <c r="Y11" s="102">
        <f>Solution!W4</f>
        <v>-30</v>
      </c>
      <c r="Z11" s="100"/>
      <c r="AA11" s="101"/>
      <c r="AB11" s="102">
        <f>Solution!Z4</f>
        <v>-36</v>
      </c>
      <c r="AC11" s="100"/>
      <c r="AD11" s="101"/>
      <c r="AE11" s="102">
        <f>Solution!AC4</f>
        <v>-42</v>
      </c>
      <c r="AF11" s="100"/>
      <c r="AG11" s="101"/>
      <c r="AH11" s="102">
        <f>Solution!AF4</f>
        <v>-48</v>
      </c>
      <c r="AI11"/>
      <c r="AJ11"/>
    </row>
    <row r="12" spans="1:36" s="1" customFormat="1" ht="12" hidden="1" customHeight="1" thickTop="1" thickBot="1">
      <c r="E12" s="156"/>
      <c r="I12" s="103"/>
      <c r="J12" s="104"/>
      <c r="K12" s="104"/>
      <c r="L12" s="103"/>
      <c r="M12" s="104"/>
      <c r="N12" s="100"/>
      <c r="O12" s="103"/>
      <c r="P12" s="104"/>
      <c r="Q12" s="103"/>
      <c r="R12" s="103"/>
      <c r="S12" s="104"/>
      <c r="T12" s="105"/>
      <c r="U12" s="103"/>
      <c r="V12" s="104"/>
      <c r="W12" s="106"/>
      <c r="X12" s="103"/>
      <c r="Y12" s="104"/>
      <c r="Z12" s="105"/>
      <c r="AA12" s="103"/>
      <c r="AB12" s="104"/>
      <c r="AC12" s="106"/>
      <c r="AD12" s="103"/>
      <c r="AE12" s="104"/>
      <c r="AF12" s="105"/>
      <c r="AG12" s="103"/>
      <c r="AH12" s="104"/>
      <c r="AI12"/>
      <c r="AJ12"/>
    </row>
    <row r="13" spans="1:36" s="1" customFormat="1" ht="12" customHeight="1" thickTop="1">
      <c r="A13" s="77" t="s">
        <v>45</v>
      </c>
      <c r="B13" s="78">
        <v>5</v>
      </c>
      <c r="E13" s="156"/>
      <c r="G13" s="112" t="s">
        <v>6</v>
      </c>
      <c r="H13"/>
      <c r="I13" s="98"/>
      <c r="J13" s="99">
        <f>Solution!H6</f>
        <v>-6</v>
      </c>
      <c r="K13" s="100"/>
      <c r="L13" s="98">
        <f>Solution!J6</f>
        <v>-2</v>
      </c>
      <c r="M13" s="99">
        <f>Solution!K6</f>
        <v>-12</v>
      </c>
      <c r="N13" s="100"/>
      <c r="O13" s="98">
        <f>Solution!M6</f>
        <v>-1</v>
      </c>
      <c r="P13" s="99">
        <f>Solution!N6</f>
        <v>-18</v>
      </c>
      <c r="Q13" s="100"/>
      <c r="R13" s="98"/>
      <c r="S13" s="99"/>
      <c r="T13" s="100"/>
      <c r="U13" s="98"/>
      <c r="V13" s="99"/>
      <c r="W13" s="100"/>
      <c r="X13" s="98"/>
      <c r="Y13" s="99"/>
      <c r="Z13" s="100"/>
      <c r="AA13" s="98"/>
      <c r="AB13" s="99"/>
      <c r="AC13" s="100"/>
      <c r="AD13" s="98"/>
      <c r="AE13" s="99"/>
      <c r="AF13" s="100"/>
      <c r="AG13" s="98"/>
      <c r="AH13" s="99"/>
      <c r="AI13"/>
      <c r="AJ13"/>
    </row>
    <row r="14" spans="1:36" s="1" customFormat="1" ht="12" customHeight="1" thickBot="1">
      <c r="A14" s="79" t="s">
        <v>46</v>
      </c>
      <c r="B14" s="80">
        <v>-2</v>
      </c>
      <c r="E14" s="156"/>
      <c r="F14" s="1">
        <f ca="1">MAX(OFFSET($J14, 0, 0, 1, 3 + 3*SeqA_Length) )</f>
        <v>-1</v>
      </c>
      <c r="G14" s="117"/>
      <c r="H14"/>
      <c r="I14" s="101"/>
      <c r="J14" s="102">
        <f>Solution!H7</f>
        <v>-6</v>
      </c>
      <c r="K14" s="100"/>
      <c r="L14" s="101">
        <f>Solution!J7</f>
        <v>-12</v>
      </c>
      <c r="M14" s="102">
        <f>Solution!K7</f>
        <v>-2</v>
      </c>
      <c r="N14" s="100"/>
      <c r="O14" s="101">
        <f>Solution!M7</f>
        <v>-8</v>
      </c>
      <c r="P14" s="102">
        <f>Solution!N7</f>
        <v>-1</v>
      </c>
      <c r="Q14" s="100"/>
      <c r="R14" s="101"/>
      <c r="S14" s="102">
        <f>Solution!Q7</f>
        <v>-7</v>
      </c>
      <c r="T14" s="100"/>
      <c r="U14" s="101"/>
      <c r="V14" s="102">
        <f>Solution!T7</f>
        <v>-13</v>
      </c>
      <c r="W14" s="100"/>
      <c r="X14" s="101"/>
      <c r="Y14" s="102">
        <f>Solution!W7</f>
        <v>-19</v>
      </c>
      <c r="Z14" s="100"/>
      <c r="AA14" s="101"/>
      <c r="AB14" s="102">
        <f>Solution!Z7</f>
        <v>-25</v>
      </c>
      <c r="AC14" s="100"/>
      <c r="AD14" s="101"/>
      <c r="AE14" s="102">
        <f>Solution!AC7</f>
        <v>-31</v>
      </c>
      <c r="AF14" s="100"/>
      <c r="AG14" s="101"/>
      <c r="AH14" s="102">
        <f>Solution!AF7</f>
        <v>-37</v>
      </c>
      <c r="AI14"/>
      <c r="AJ14"/>
    </row>
    <row r="15" spans="1:36" s="1" customFormat="1" ht="12" hidden="1" customHeight="1" thickTop="1" thickBot="1">
      <c r="A15" s="79"/>
      <c r="B15" s="80"/>
      <c r="E15" s="156"/>
      <c r="G15" s="95"/>
      <c r="H15" s="90"/>
      <c r="I15" s="103"/>
      <c r="J15" s="104"/>
      <c r="K15" s="104"/>
      <c r="L15" s="103"/>
      <c r="M15" s="104"/>
      <c r="N15" s="100"/>
      <c r="O15" s="103"/>
      <c r="P15" s="104"/>
      <c r="Q15" s="103"/>
      <c r="R15" s="103"/>
      <c r="S15" s="104"/>
      <c r="T15" s="105"/>
      <c r="U15" s="103"/>
      <c r="V15" s="104"/>
      <c r="W15" s="106"/>
      <c r="X15" s="103"/>
      <c r="Y15" s="104"/>
      <c r="Z15" s="105"/>
      <c r="AA15" s="103"/>
      <c r="AB15" s="104"/>
      <c r="AC15" s="106"/>
      <c r="AD15" s="103"/>
      <c r="AE15" s="104"/>
      <c r="AF15" s="105"/>
      <c r="AG15" s="103"/>
      <c r="AH15" s="104"/>
      <c r="AI15"/>
      <c r="AJ15"/>
    </row>
    <row r="16" spans="1:36" s="1" customFormat="1" ht="12" customHeight="1" thickTop="1" thickBot="1">
      <c r="A16" s="81" t="s">
        <v>44</v>
      </c>
      <c r="B16" s="82">
        <v>-6</v>
      </c>
      <c r="E16" s="156"/>
      <c r="G16" s="112" t="s">
        <v>7</v>
      </c>
      <c r="H16"/>
      <c r="I16" s="98"/>
      <c r="J16" s="99">
        <f>Solution!H9</f>
        <v>-12</v>
      </c>
      <c r="K16" s="100"/>
      <c r="L16" s="98">
        <f>Solution!J9</f>
        <v>-8</v>
      </c>
      <c r="M16" s="99">
        <f>Solution!K9</f>
        <v>-8</v>
      </c>
      <c r="N16" s="100"/>
      <c r="O16" s="98">
        <f>Solution!M9</f>
        <v>-4</v>
      </c>
      <c r="P16" s="99">
        <f>Solution!N9</f>
        <v>-7</v>
      </c>
      <c r="Q16" s="100"/>
      <c r="R16" s="98"/>
      <c r="S16" s="99"/>
      <c r="T16" s="100"/>
      <c r="U16" s="98"/>
      <c r="V16" s="99"/>
      <c r="W16" s="100"/>
      <c r="X16" s="98"/>
      <c r="Y16" s="99"/>
      <c r="Z16" s="100"/>
      <c r="AA16" s="98"/>
      <c r="AB16" s="99"/>
      <c r="AC16" s="100"/>
      <c r="AD16" s="98"/>
      <c r="AE16" s="99"/>
      <c r="AF16" s="100"/>
      <c r="AG16" s="98"/>
      <c r="AH16" s="99"/>
      <c r="AI16"/>
      <c r="AJ16"/>
    </row>
    <row r="17" spans="1:36" s="1" customFormat="1" ht="12" customHeight="1" thickTop="1" thickBot="1">
      <c r="E17" s="156"/>
      <c r="F17" s="1">
        <f ca="1">MAX(OFFSET($J17, 0, 0, 1, 3 + 3*SeqA_Length) )</f>
        <v>4</v>
      </c>
      <c r="G17" s="117"/>
      <c r="H17"/>
      <c r="I17" s="101"/>
      <c r="J17" s="102">
        <f>Solution!H10</f>
        <v>-12</v>
      </c>
      <c r="K17" s="100"/>
      <c r="L17" s="101">
        <f>Solution!J10</f>
        <v>-18</v>
      </c>
      <c r="M17" s="102">
        <f>Solution!K10</f>
        <v>-8</v>
      </c>
      <c r="N17" s="100"/>
      <c r="O17" s="101">
        <f>Solution!M10</f>
        <v>-14</v>
      </c>
      <c r="P17" s="102">
        <f>Solution!N10</f>
        <v>-4</v>
      </c>
      <c r="Q17" s="100"/>
      <c r="R17" s="101"/>
      <c r="S17" s="102">
        <f>Solution!Q10</f>
        <v>4</v>
      </c>
      <c r="T17" s="100"/>
      <c r="U17" s="101"/>
      <c r="V17" s="102">
        <f>Solution!T10</f>
        <v>-2</v>
      </c>
      <c r="W17" s="100"/>
      <c r="X17" s="101"/>
      <c r="Y17" s="102">
        <f>Solution!W10</f>
        <v>-8</v>
      </c>
      <c r="Z17" s="100"/>
      <c r="AA17" s="101"/>
      <c r="AB17" s="102">
        <f>Solution!Z10</f>
        <v>-14</v>
      </c>
      <c r="AC17" s="100"/>
      <c r="AD17" s="101"/>
      <c r="AE17" s="102">
        <f>Solution!AC10</f>
        <v>-20</v>
      </c>
      <c r="AF17" s="100"/>
      <c r="AG17" s="101"/>
      <c r="AH17" s="102">
        <f>Solution!AF10</f>
        <v>-26</v>
      </c>
      <c r="AI17"/>
      <c r="AJ17"/>
    </row>
    <row r="18" spans="1:36" s="1" customFormat="1" ht="12" hidden="1" customHeight="1" thickTop="1" thickBot="1">
      <c r="E18" s="156"/>
      <c r="G18" s="95"/>
      <c r="H18" s="90"/>
      <c r="I18" s="103"/>
      <c r="J18" s="104"/>
      <c r="K18" s="104"/>
      <c r="L18" s="103"/>
      <c r="M18" s="104"/>
      <c r="N18" s="105"/>
      <c r="O18" s="103"/>
      <c r="P18" s="104"/>
      <c r="Q18" s="106"/>
      <c r="R18" s="103"/>
      <c r="S18" s="104"/>
      <c r="T18" s="105"/>
      <c r="U18" s="103"/>
      <c r="V18" s="104"/>
      <c r="W18" s="106"/>
      <c r="X18" s="103"/>
      <c r="Y18" s="104"/>
      <c r="Z18" s="105"/>
      <c r="AA18" s="103"/>
      <c r="AB18" s="104"/>
      <c r="AC18" s="106"/>
      <c r="AD18" s="103"/>
      <c r="AE18" s="104"/>
      <c r="AF18" s="105"/>
      <c r="AG18" s="103"/>
      <c r="AH18" s="104"/>
      <c r="AI18"/>
      <c r="AJ18"/>
    </row>
    <row r="19" spans="1:36" s="1" customFormat="1" ht="12" customHeight="1" thickTop="1">
      <c r="E19" s="156"/>
      <c r="G19" s="112" t="s">
        <v>7</v>
      </c>
      <c r="H19"/>
      <c r="I19" s="98"/>
      <c r="J19" s="99"/>
      <c r="K19" s="100"/>
      <c r="L19" s="98"/>
      <c r="M19" s="99"/>
      <c r="N19" s="100"/>
      <c r="O19" s="98"/>
      <c r="P19" s="99"/>
      <c r="Q19" s="100"/>
      <c r="R19" s="98"/>
      <c r="S19" s="99"/>
      <c r="T19" s="100"/>
      <c r="U19" s="98"/>
      <c r="V19" s="99"/>
      <c r="W19" s="100"/>
      <c r="X19" s="98"/>
      <c r="Y19" s="99"/>
      <c r="Z19" s="100"/>
      <c r="AA19" s="98"/>
      <c r="AB19" s="99"/>
      <c r="AC19" s="100"/>
      <c r="AD19" s="98"/>
      <c r="AE19" s="99"/>
      <c r="AF19" s="100"/>
      <c r="AG19" s="98"/>
      <c r="AH19" s="99"/>
      <c r="AI19"/>
      <c r="AJ19"/>
    </row>
    <row r="20" spans="1:36" s="1" customFormat="1" ht="12" customHeight="1" thickBot="1">
      <c r="E20" s="156"/>
      <c r="F20" s="1">
        <f ca="1">MAX(OFFSET($J20, 0, 0, 1, 3 + 3*SeqA_Length) )</f>
        <v>3</v>
      </c>
      <c r="G20" s="117"/>
      <c r="H20"/>
      <c r="I20" s="101"/>
      <c r="J20" s="102">
        <f>Solution!H13</f>
        <v>-18</v>
      </c>
      <c r="K20" s="100"/>
      <c r="L20" s="101"/>
      <c r="M20" s="102">
        <f>Solution!K13</f>
        <v>-14</v>
      </c>
      <c r="N20" s="100"/>
      <c r="O20" s="101"/>
      <c r="P20" s="102">
        <f>Solution!N13</f>
        <v>-10</v>
      </c>
      <c r="Q20" s="100"/>
      <c r="R20" s="101"/>
      <c r="S20" s="102">
        <f>Solution!Q13</f>
        <v>1</v>
      </c>
      <c r="T20" s="100"/>
      <c r="U20" s="101"/>
      <c r="V20" s="102">
        <f>Solution!T13</f>
        <v>2</v>
      </c>
      <c r="W20" s="100"/>
      <c r="X20" s="101"/>
      <c r="Y20" s="102">
        <f>Solution!W13</f>
        <v>3</v>
      </c>
      <c r="Z20" s="100"/>
      <c r="AA20" s="101"/>
      <c r="AB20" s="102">
        <f>Solution!Z13</f>
        <v>-3</v>
      </c>
      <c r="AC20" s="100"/>
      <c r="AD20" s="101"/>
      <c r="AE20" s="102">
        <f>Solution!AC13</f>
        <v>-9</v>
      </c>
      <c r="AF20" s="100"/>
      <c r="AG20" s="101"/>
      <c r="AH20" s="102">
        <f>Solution!AF13</f>
        <v>-15</v>
      </c>
      <c r="AI20"/>
      <c r="AJ20"/>
    </row>
    <row r="21" spans="1:36" s="1" customFormat="1" ht="12" hidden="1" customHeight="1" thickTop="1" thickBot="1">
      <c r="E21" s="156"/>
      <c r="G21" s="95"/>
      <c r="H21" s="90"/>
      <c r="I21" s="103"/>
      <c r="J21" s="104"/>
      <c r="K21" s="104"/>
      <c r="L21" s="103"/>
      <c r="M21" s="104"/>
      <c r="N21" s="105"/>
      <c r="O21" s="103"/>
      <c r="P21" s="104"/>
      <c r="Q21" s="106"/>
      <c r="R21" s="103"/>
      <c r="S21" s="104"/>
      <c r="T21" s="105"/>
      <c r="U21" s="103"/>
      <c r="V21" s="104"/>
      <c r="W21" s="106"/>
      <c r="X21" s="103"/>
      <c r="Y21" s="104"/>
      <c r="Z21" s="105"/>
      <c r="AA21" s="103"/>
      <c r="AB21" s="104"/>
      <c r="AC21" s="106"/>
      <c r="AD21" s="103"/>
      <c r="AE21" s="104"/>
      <c r="AF21" s="105"/>
      <c r="AG21" s="103"/>
      <c r="AH21" s="104"/>
      <c r="AI21"/>
      <c r="AJ21"/>
    </row>
    <row r="22" spans="1:36" s="1" customFormat="1" ht="12" customHeight="1" thickTop="1">
      <c r="E22" s="156"/>
      <c r="G22" s="112" t="s">
        <v>7</v>
      </c>
      <c r="H22"/>
      <c r="I22" s="98"/>
      <c r="J22" s="99"/>
      <c r="K22" s="100"/>
      <c r="L22" s="98"/>
      <c r="M22" s="99"/>
      <c r="N22" s="100"/>
      <c r="O22" s="98"/>
      <c r="P22" s="99"/>
      <c r="Q22" s="100"/>
      <c r="R22" s="98"/>
      <c r="S22" s="99"/>
      <c r="T22" s="100"/>
      <c r="U22" s="98"/>
      <c r="V22" s="99"/>
      <c r="W22" s="100"/>
      <c r="X22" s="98"/>
      <c r="Y22" s="99"/>
      <c r="Z22" s="100"/>
      <c r="AA22" s="98"/>
      <c r="AB22" s="99"/>
      <c r="AC22" s="100"/>
      <c r="AD22" s="98"/>
      <c r="AE22" s="99"/>
      <c r="AF22" s="100"/>
      <c r="AG22" s="98"/>
      <c r="AH22" s="99"/>
      <c r="AI22"/>
      <c r="AJ22"/>
    </row>
    <row r="23" spans="1:36" s="1" customFormat="1" ht="12" customHeight="1" thickBot="1">
      <c r="E23" s="156"/>
      <c r="F23" s="1">
        <f ca="1">MAX(OFFSET($J23, 0, 0, 1, 3 + 3*SeqA_Length) )</f>
        <v>7</v>
      </c>
      <c r="G23" s="117"/>
      <c r="H23"/>
      <c r="I23" s="101"/>
      <c r="J23" s="102">
        <f>Solution!H16</f>
        <v>-24</v>
      </c>
      <c r="K23" s="100"/>
      <c r="L23" s="101"/>
      <c r="M23" s="102">
        <f>Solution!K16</f>
        <v>-20</v>
      </c>
      <c r="N23" s="100"/>
      <c r="O23" s="101"/>
      <c r="P23" s="102">
        <f>Solution!N16</f>
        <v>-16</v>
      </c>
      <c r="Q23" s="100"/>
      <c r="R23" s="101"/>
      <c r="S23" s="102">
        <f>Solution!Q16</f>
        <v>-5</v>
      </c>
      <c r="T23" s="100"/>
      <c r="U23" s="101"/>
      <c r="V23" s="102">
        <f>Solution!T16</f>
        <v>-1</v>
      </c>
      <c r="W23" s="100"/>
      <c r="X23" s="101"/>
      <c r="Y23" s="102">
        <f>Solution!W16</f>
        <v>7</v>
      </c>
      <c r="Z23" s="100"/>
      <c r="AA23" s="101"/>
      <c r="AB23" s="102">
        <f>Solution!Z16</f>
        <v>1</v>
      </c>
      <c r="AC23" s="100"/>
      <c r="AD23" s="101"/>
      <c r="AE23" s="102">
        <f>Solution!AC16</f>
        <v>-5</v>
      </c>
      <c r="AF23" s="100"/>
      <c r="AG23" s="101"/>
      <c r="AH23" s="102">
        <f>Solution!AF16</f>
        <v>-11</v>
      </c>
      <c r="AI23"/>
      <c r="AJ23"/>
    </row>
    <row r="24" spans="1:36" s="1" customFormat="1" ht="12" hidden="1" customHeight="1" thickTop="1" thickBot="1">
      <c r="E24" s="156"/>
      <c r="G24" s="95"/>
      <c r="H24" s="90"/>
      <c r="I24" s="103"/>
      <c r="J24" s="104"/>
      <c r="K24" s="104"/>
      <c r="L24" s="103"/>
      <c r="M24" s="104"/>
      <c r="N24" s="105"/>
      <c r="O24" s="103"/>
      <c r="P24" s="104"/>
      <c r="Q24" s="106"/>
      <c r="R24" s="103"/>
      <c r="S24" s="104"/>
      <c r="T24" s="105"/>
      <c r="U24" s="103"/>
      <c r="V24" s="104"/>
      <c r="W24" s="106"/>
      <c r="X24" s="103"/>
      <c r="Y24" s="104"/>
      <c r="Z24" s="105"/>
      <c r="AA24" s="103"/>
      <c r="AB24" s="104"/>
      <c r="AC24" s="106"/>
      <c r="AD24" s="103"/>
      <c r="AE24" s="104"/>
      <c r="AF24" s="105"/>
      <c r="AG24" s="103"/>
      <c r="AH24" s="104"/>
      <c r="AI24"/>
      <c r="AJ24"/>
    </row>
    <row r="25" spans="1:36" s="1" customFormat="1" ht="12" customHeight="1" thickTop="1">
      <c r="A25" s="12" t="s">
        <v>51</v>
      </c>
      <c r="B25" s="2"/>
      <c r="C25" s="13">
        <f>90 - COUNTIF($L$9:$CW$9, "")</f>
        <v>8</v>
      </c>
      <c r="E25" s="156"/>
      <c r="G25" s="112" t="s">
        <v>6</v>
      </c>
      <c r="H25"/>
      <c r="I25" s="98"/>
      <c r="J25" s="99"/>
      <c r="K25" s="100"/>
      <c r="L25" s="98"/>
      <c r="M25" s="99"/>
      <c r="N25" s="100"/>
      <c r="O25" s="98"/>
      <c r="P25" s="99"/>
      <c r="Q25" s="100"/>
      <c r="R25" s="98"/>
      <c r="S25" s="99"/>
      <c r="T25" s="100"/>
      <c r="U25" s="98"/>
      <c r="V25" s="99"/>
      <c r="W25" s="100"/>
      <c r="X25" s="98"/>
      <c r="Y25" s="99"/>
      <c r="Z25" s="100"/>
      <c r="AA25" s="98"/>
      <c r="AB25" s="99"/>
      <c r="AC25" s="100"/>
      <c r="AD25" s="98"/>
      <c r="AE25" s="99"/>
      <c r="AF25" s="100"/>
      <c r="AG25" s="98"/>
      <c r="AH25" s="99"/>
      <c r="AI25"/>
    </row>
    <row r="26" spans="1:36" s="1" customFormat="1" ht="12" customHeight="1" thickBot="1">
      <c r="A26" s="14" t="s">
        <v>52</v>
      </c>
      <c r="B26" s="15"/>
      <c r="C26" s="16">
        <f>90 - COUNTIF($G$13:$G$102, "")</f>
        <v>6</v>
      </c>
      <c r="E26" s="156"/>
      <c r="F26" s="1">
        <f ca="1">MAX(OFFSET($J26, 0, 0, 1, 3 + 3*SeqA_Length) )</f>
        <v>12</v>
      </c>
      <c r="G26" s="117"/>
      <c r="H26"/>
      <c r="I26" s="101"/>
      <c r="J26" s="102">
        <f>Solution!H19</f>
        <v>-30</v>
      </c>
      <c r="K26" s="100"/>
      <c r="L26" s="101"/>
      <c r="M26" s="102">
        <f>Solution!K19</f>
        <v>-26</v>
      </c>
      <c r="N26" s="100"/>
      <c r="O26" s="101"/>
      <c r="P26" s="102">
        <f>Solution!N19</f>
        <v>-15</v>
      </c>
      <c r="Q26" s="100"/>
      <c r="R26" s="101"/>
      <c r="S26" s="102">
        <f>Solution!Q19</f>
        <v>-11</v>
      </c>
      <c r="T26" s="100"/>
      <c r="U26" s="101"/>
      <c r="V26" s="102">
        <f>Solution!T19</f>
        <v>-7</v>
      </c>
      <c r="W26" s="100"/>
      <c r="X26" s="101"/>
      <c r="Y26" s="102">
        <f>Solution!W19</f>
        <v>1</v>
      </c>
      <c r="Z26" s="100"/>
      <c r="AA26" s="101"/>
      <c r="AB26" s="102">
        <f>Solution!Z19</f>
        <v>12</v>
      </c>
      <c r="AC26" s="100"/>
      <c r="AD26" s="101"/>
      <c r="AE26" s="102">
        <f>Solution!AC19</f>
        <v>6</v>
      </c>
      <c r="AF26" s="100"/>
      <c r="AG26" s="101"/>
      <c r="AH26" s="102">
        <f>Solution!AF19</f>
        <v>0</v>
      </c>
      <c r="AI26"/>
    </row>
    <row r="27" spans="1:36" s="1" customFormat="1" ht="12" hidden="1" customHeight="1" thickTop="1" thickBot="1">
      <c r="E27" s="156"/>
      <c r="G27" s="95"/>
      <c r="H27" s="90"/>
      <c r="I27" s="103"/>
      <c r="J27" s="104"/>
      <c r="K27" s="104"/>
      <c r="L27" s="103"/>
      <c r="M27" s="104"/>
      <c r="N27" s="105"/>
      <c r="O27" s="103"/>
      <c r="P27" s="104"/>
      <c r="Q27" s="106"/>
      <c r="R27" s="103"/>
      <c r="S27" s="104"/>
      <c r="T27" s="105"/>
      <c r="U27" s="103"/>
      <c r="V27" s="104"/>
      <c r="W27" s="106"/>
      <c r="X27" s="103"/>
      <c r="Y27" s="104"/>
      <c r="Z27" s="105"/>
      <c r="AA27" s="103"/>
      <c r="AB27" s="104"/>
      <c r="AC27" s="106"/>
      <c r="AD27" s="103"/>
      <c r="AE27" s="104"/>
      <c r="AF27" s="105"/>
      <c r="AG27" s="103"/>
      <c r="AH27" s="104"/>
      <c r="AI27"/>
    </row>
    <row r="28" spans="1:36" s="1" customFormat="1" ht="12" customHeight="1" thickTop="1">
      <c r="E28" s="156"/>
      <c r="G28" s="112" t="s">
        <v>48</v>
      </c>
      <c r="H28"/>
      <c r="I28" s="98"/>
      <c r="J28" s="99"/>
      <c r="K28" s="100"/>
      <c r="L28" s="98"/>
      <c r="M28" s="99"/>
      <c r="N28" s="100"/>
      <c r="O28" s="98"/>
      <c r="P28" s="99"/>
      <c r="Q28" s="100"/>
      <c r="R28" s="98"/>
      <c r="S28" s="99"/>
      <c r="T28" s="100"/>
      <c r="U28" s="98"/>
      <c r="V28" s="99"/>
      <c r="W28" s="100"/>
      <c r="X28" s="98"/>
      <c r="Y28" s="99"/>
      <c r="Z28" s="100"/>
      <c r="AA28" s="98"/>
      <c r="AB28" s="99"/>
      <c r="AC28" s="100"/>
      <c r="AD28" s="98"/>
      <c r="AE28" s="99"/>
      <c r="AF28" s="100"/>
      <c r="AG28" s="98"/>
      <c r="AH28" s="99"/>
      <c r="AI28"/>
    </row>
    <row r="29" spans="1:36" s="1" customFormat="1" ht="12" customHeight="1" thickBot="1">
      <c r="E29" s="156"/>
      <c r="F29" s="1">
        <f ca="1">MAX(OFFSET($J29, 0, 0, 1, 3 + 3*SeqA_Length) )</f>
        <v>11</v>
      </c>
      <c r="G29" s="113"/>
      <c r="H29"/>
      <c r="I29" s="101"/>
      <c r="J29" s="102">
        <f>Solution!H22</f>
        <v>-36</v>
      </c>
      <c r="K29" s="100"/>
      <c r="L29" s="101"/>
      <c r="M29" s="102">
        <f>Solution!K22</f>
        <v>-32</v>
      </c>
      <c r="N29" s="100"/>
      <c r="O29" s="101"/>
      <c r="P29" s="102">
        <f>Solution!N22</f>
        <v>-21</v>
      </c>
      <c r="Q29" s="100"/>
      <c r="R29" s="101"/>
      <c r="S29" s="102">
        <f>Solution!Q22</f>
        <v>-17</v>
      </c>
      <c r="T29" s="100"/>
      <c r="U29" s="101"/>
      <c r="V29" s="102">
        <f>Solution!T22</f>
        <v>-13</v>
      </c>
      <c r="W29" s="100"/>
      <c r="X29" s="101"/>
      <c r="Y29" s="102">
        <f>Solution!W22</f>
        <v>-5</v>
      </c>
      <c r="Z29" s="100"/>
      <c r="AA29" s="101"/>
      <c r="AB29" s="102">
        <f>Solution!Z22</f>
        <v>6</v>
      </c>
      <c r="AC29" s="100"/>
      <c r="AD29" s="101"/>
      <c r="AE29" s="102">
        <f>Solution!AC22</f>
        <v>10</v>
      </c>
      <c r="AF29" s="100"/>
      <c r="AG29" s="101"/>
      <c r="AH29" s="102">
        <f>Solution!AF22</f>
        <v>11</v>
      </c>
      <c r="AI29"/>
    </row>
    <row r="30" spans="1:36" s="1" customFormat="1" ht="12" hidden="1" customHeight="1" thickTop="1" thickBot="1">
      <c r="A30"/>
      <c r="B30"/>
      <c r="C30"/>
      <c r="G30" s="89"/>
      <c r="H30" s="59"/>
      <c r="I30" s="11"/>
      <c r="J30" s="39"/>
      <c r="K30" s="39"/>
      <c r="L30"/>
      <c r="M30"/>
      <c r="N30"/>
      <c r="O30"/>
      <c r="P30"/>
      <c r="Q30" s="36"/>
      <c r="R30"/>
      <c r="S30"/>
      <c r="T30"/>
      <c r="U30"/>
      <c r="V30"/>
      <c r="W30" s="36"/>
      <c r="X30"/>
      <c r="Y30"/>
      <c r="Z30"/>
      <c r="AA30"/>
      <c r="AB30"/>
      <c r="AC30" s="36"/>
      <c r="AD30"/>
      <c r="AE30"/>
      <c r="AF30"/>
      <c r="AG30"/>
      <c r="AH30"/>
      <c r="AI30"/>
    </row>
    <row r="31" spans="1:36" s="1" customFormat="1" ht="12" customHeight="1" thickTop="1">
      <c r="AI31"/>
    </row>
    <row r="32" spans="1:36" s="1" customFormat="1" ht="12" customHeight="1">
      <c r="AI32"/>
    </row>
    <row r="33" spans="6:35" s="1" customFormat="1" ht="12" customHeight="1">
      <c r="AI33"/>
    </row>
    <row r="34" spans="6:35" s="1" customFormat="1" ht="12" customHeight="1">
      <c r="F34"/>
      <c r="G34"/>
      <c r="H34"/>
      <c r="I34"/>
      <c r="J34"/>
      <c r="K34" s="36"/>
      <c r="L34"/>
      <c r="M34"/>
      <c r="N34"/>
      <c r="O34"/>
      <c r="P34"/>
      <c r="Q34" s="36"/>
      <c r="R34"/>
      <c r="S34"/>
      <c r="T34"/>
      <c r="U34"/>
      <c r="V34"/>
      <c r="W34" s="36"/>
      <c r="X34"/>
      <c r="Y34"/>
      <c r="Z34"/>
      <c r="AA34"/>
      <c r="AB34"/>
      <c r="AC34" s="36"/>
      <c r="AD34"/>
      <c r="AE34"/>
      <c r="AF34"/>
      <c r="AI34"/>
    </row>
    <row r="35" spans="6:35" s="1" customFormat="1" ht="12" customHeight="1">
      <c r="F35"/>
      <c r="G35"/>
      <c r="H35"/>
      <c r="I35"/>
      <c r="J35"/>
      <c r="K35" s="36"/>
      <c r="L35"/>
      <c r="M35"/>
      <c r="N35"/>
      <c r="O35"/>
      <c r="P35"/>
      <c r="Q35" s="36"/>
      <c r="R35"/>
      <c r="S35"/>
      <c r="T35"/>
      <c r="U35"/>
      <c r="V35"/>
      <c r="W35" s="36"/>
      <c r="X35"/>
      <c r="Y35"/>
      <c r="Z35"/>
      <c r="AA35"/>
      <c r="AB35"/>
      <c r="AC35" s="36"/>
      <c r="AD35"/>
      <c r="AE35"/>
      <c r="AF35"/>
      <c r="AI35"/>
    </row>
    <row r="36" spans="6:35" s="1" customFormat="1" ht="12" customHeight="1">
      <c r="K36" s="11"/>
      <c r="Q36" s="11"/>
      <c r="U36"/>
      <c r="V36"/>
      <c r="W36" s="36"/>
      <c r="X36"/>
      <c r="Y36"/>
      <c r="Z36"/>
      <c r="AA36"/>
      <c r="AB36"/>
      <c r="AC36" s="36"/>
      <c r="AD36"/>
      <c r="AE36"/>
      <c r="AF36"/>
      <c r="AI36"/>
    </row>
  </sheetData>
  <mergeCells count="17">
    <mergeCell ref="G25:G26"/>
    <mergeCell ref="E10:E29"/>
    <mergeCell ref="AG9:AH9"/>
    <mergeCell ref="X9:Y9"/>
    <mergeCell ref="AA9:AB9"/>
    <mergeCell ref="AD9:AE9"/>
    <mergeCell ref="G28:G29"/>
    <mergeCell ref="L9:M9"/>
    <mergeCell ref="O9:P9"/>
    <mergeCell ref="R9:S9"/>
    <mergeCell ref="U9:V9"/>
    <mergeCell ref="I9:J9"/>
    <mergeCell ref="G10:G11"/>
    <mergeCell ref="G13:G14"/>
    <mergeCell ref="G16:G17"/>
    <mergeCell ref="G19:G20"/>
    <mergeCell ref="G22:G23"/>
  </mergeCells>
  <conditionalFormatting sqref="A25:C26">
    <cfRule type="expression" dxfId="794" priority="1183">
      <formula>AlignmentType=3</formula>
    </cfRule>
    <cfRule type="expression" dxfId="793" priority="1184">
      <formula>AlignmentType=2</formula>
    </cfRule>
    <cfRule type="expression" dxfId="792" priority="1185">
      <formula>AlignmentType=1</formula>
    </cfRule>
  </conditionalFormatting>
  <conditionalFormatting sqref="G13 G15:G16 G18:G19 G21:G22 G24:G25 G27:G28">
    <cfRule type="expression" dxfId="791" priority="636">
      <formula>AlignmentType=2</formula>
    </cfRule>
    <cfRule type="expression" dxfId="790" priority="637">
      <formula>AlignmentType=3</formula>
    </cfRule>
  </conditionalFormatting>
  <conditionalFormatting sqref="J11 J14 J17 J20 J23 J26 J29">
    <cfRule type="expression" dxfId="789" priority="778">
      <formula>AlignmentType=2</formula>
    </cfRule>
    <cfRule type="expression" dxfId="788" priority="1384">
      <formula>AlignmentType=3</formula>
    </cfRule>
  </conditionalFormatting>
  <conditionalFormatting sqref="G30">
    <cfRule type="expression" dxfId="787" priority="616">
      <formula>AlignmentType=2</formula>
    </cfRule>
    <cfRule type="expression" dxfId="786" priority="617">
      <formula>AlignmentType=3</formula>
    </cfRule>
  </conditionalFormatting>
  <conditionalFormatting sqref="M11 M14 M17 M20 M23 M26 M29">
    <cfRule type="expression" dxfId="785" priority="53">
      <formula>AlignmentType=2</formula>
    </cfRule>
    <cfRule type="expression" dxfId="784" priority="54">
      <formula>AlignmentType=3</formula>
    </cfRule>
  </conditionalFormatting>
  <conditionalFormatting sqref="P11 P14 P17 P20 P23 P26 P29">
    <cfRule type="expression" dxfId="783" priority="50">
      <formula>AlignmentType=2</formula>
    </cfRule>
    <cfRule type="expression" dxfId="782" priority="51">
      <formula>AlignmentType=3</formula>
    </cfRule>
  </conditionalFormatting>
  <conditionalFormatting sqref="S11 S14 S17 S20 S23 S26 S29">
    <cfRule type="expression" dxfId="781" priority="47">
      <formula>AlignmentType=2</formula>
    </cfRule>
    <cfRule type="expression" dxfId="780" priority="48">
      <formula>AlignmentType=3</formula>
    </cfRule>
  </conditionalFormatting>
  <conditionalFormatting sqref="V11 V14 V17 V20 V23 V26 V29">
    <cfRule type="expression" dxfId="779" priority="44">
      <formula>AlignmentType=2</formula>
    </cfRule>
    <cfRule type="expression" dxfId="778" priority="45">
      <formula>AlignmentType=3</formula>
    </cfRule>
  </conditionalFormatting>
  <conditionalFormatting sqref="Y11 Y14 Y17 Y20 Y23 Y26 Y29">
    <cfRule type="expression" dxfId="777" priority="41">
      <formula>AlignmentType=2</formula>
    </cfRule>
    <cfRule type="expression" dxfId="776" priority="42">
      <formula>AlignmentType=3</formula>
    </cfRule>
  </conditionalFormatting>
  <conditionalFormatting sqref="AB11 AB14 AB17 AB20 AB23 AB26 AB29">
    <cfRule type="expression" dxfId="775" priority="38">
      <formula>AlignmentType=2</formula>
    </cfRule>
    <cfRule type="expression" dxfId="774" priority="39">
      <formula>AlignmentType=3</formula>
    </cfRule>
  </conditionalFormatting>
  <conditionalFormatting sqref="AE11 AE14 AE17 AE20 AE23 AE26 AE29">
    <cfRule type="expression" dxfId="773" priority="35">
      <formula>AlignmentType=2</formula>
    </cfRule>
    <cfRule type="expression" dxfId="772" priority="36">
      <formula>AlignmentType=3</formula>
    </cfRule>
  </conditionalFormatting>
  <conditionalFormatting sqref="AH11 AH14 AH17 AH20 AH23 AH26 AH29">
    <cfRule type="expression" dxfId="771" priority="32">
      <formula>AlignmentType=2</formula>
    </cfRule>
    <cfRule type="expression" dxfId="770" priority="33">
      <formula>AlignmentType=3</formula>
    </cfRule>
  </conditionalFormatting>
  <conditionalFormatting sqref="G13:G14">
    <cfRule type="expression" dxfId="769" priority="30" stopIfTrue="1">
      <formula>NOT(OR(G13="A", G13="C", G13="G", G13="T"))</formula>
    </cfRule>
  </conditionalFormatting>
  <conditionalFormatting sqref="L9 N9">
    <cfRule type="expression" dxfId="768" priority="28">
      <formula>AlignmentType=2</formula>
    </cfRule>
    <cfRule type="expression" dxfId="767" priority="29">
      <formula>AlignmentType=3</formula>
    </cfRule>
  </conditionalFormatting>
  <conditionalFormatting sqref="L9 N9">
    <cfRule type="expression" dxfId="766" priority="27" stopIfTrue="1">
      <formula>NOT(OR(L9="A", L9="C", L9="G", L9="T"))</formula>
    </cfRule>
  </conditionalFormatting>
  <conditionalFormatting sqref="AG9">
    <cfRule type="expression" dxfId="765" priority="25">
      <formula>AlignmentType=2</formula>
    </cfRule>
    <cfRule type="expression" dxfId="764" priority="26">
      <formula>AlignmentType=3</formula>
    </cfRule>
  </conditionalFormatting>
  <conditionalFormatting sqref="AG9">
    <cfRule type="expression" dxfId="763" priority="24" stopIfTrue="1">
      <formula>NOT(OR(AG9="A", AG9="C", AG9="G", AG9="T"))</formula>
    </cfRule>
  </conditionalFormatting>
  <conditionalFormatting sqref="O9 Q9">
    <cfRule type="expression" dxfId="762" priority="22">
      <formula>AlignmentType=2</formula>
    </cfRule>
    <cfRule type="expression" dxfId="761" priority="23">
      <formula>AlignmentType=3</formula>
    </cfRule>
  </conditionalFormatting>
  <conditionalFormatting sqref="O9 Q9">
    <cfRule type="expression" dxfId="760" priority="21" stopIfTrue="1">
      <formula>NOT(OR(O9="A", O9="C", O9="G", O9="T"))</formula>
    </cfRule>
  </conditionalFormatting>
  <conditionalFormatting sqref="R9 T9">
    <cfRule type="expression" dxfId="759" priority="19">
      <formula>AlignmentType=2</formula>
    </cfRule>
    <cfRule type="expression" dxfId="758" priority="20">
      <formula>AlignmentType=3</formula>
    </cfRule>
  </conditionalFormatting>
  <conditionalFormatting sqref="R9 T9">
    <cfRule type="expression" dxfId="757" priority="18" stopIfTrue="1">
      <formula>NOT(OR(R9="A", R9="C", R9="G", R9="T"))</formula>
    </cfRule>
  </conditionalFormatting>
  <conditionalFormatting sqref="U9 W9">
    <cfRule type="expression" dxfId="756" priority="16">
      <formula>AlignmentType=2</formula>
    </cfRule>
    <cfRule type="expression" dxfId="755" priority="17">
      <formula>AlignmentType=3</formula>
    </cfRule>
  </conditionalFormatting>
  <conditionalFormatting sqref="U9 W9">
    <cfRule type="expression" dxfId="754" priority="15" stopIfTrue="1">
      <formula>NOT(OR(U9="A", U9="C", U9="G", U9="T"))</formula>
    </cfRule>
  </conditionalFormatting>
  <conditionalFormatting sqref="X9 Z9">
    <cfRule type="expression" dxfId="753" priority="13">
      <formula>AlignmentType=2</formula>
    </cfRule>
    <cfRule type="expression" dxfId="752" priority="14">
      <formula>AlignmentType=3</formula>
    </cfRule>
  </conditionalFormatting>
  <conditionalFormatting sqref="X9 Z9">
    <cfRule type="expression" dxfId="751" priority="12" stopIfTrue="1">
      <formula>NOT(OR(X9="A", X9="C", X9="G", X9="T"))</formula>
    </cfRule>
  </conditionalFormatting>
  <conditionalFormatting sqref="AA9 AC9">
    <cfRule type="expression" dxfId="750" priority="10">
      <formula>AlignmentType=2</formula>
    </cfRule>
    <cfRule type="expression" dxfId="749" priority="11">
      <formula>AlignmentType=3</formula>
    </cfRule>
  </conditionalFormatting>
  <conditionalFormatting sqref="AA9 AC9">
    <cfRule type="expression" dxfId="748" priority="9" stopIfTrue="1">
      <formula>NOT(OR(AA9="A", AA9="C", AA9="G", AA9="T"))</formula>
    </cfRule>
  </conditionalFormatting>
  <conditionalFormatting sqref="AD9 AF9">
    <cfRule type="expression" dxfId="747" priority="7">
      <formula>AlignmentType=2</formula>
    </cfRule>
    <cfRule type="expression" dxfId="746" priority="8">
      <formula>AlignmentType=3</formula>
    </cfRule>
  </conditionalFormatting>
  <conditionalFormatting sqref="AD9 AF9">
    <cfRule type="expression" dxfId="745" priority="6" stopIfTrue="1">
      <formula>NOT(OR(AD9="A", AD9="C", AD9="G", AD9="T"))</formula>
    </cfRule>
  </conditionalFormatting>
  <conditionalFormatting sqref="B13">
    <cfRule type="cellIs" dxfId="744" priority="2" operator="notBetween">
      <formula>0</formula>
      <formula>100</formula>
    </cfRule>
  </conditionalFormatting>
  <conditionalFormatting sqref="B14:B16">
    <cfRule type="cellIs" dxfId="743" priority="1" operator="notBetween">
      <formula>-100</formula>
      <formula>0</formula>
    </cfRule>
  </conditionalFormatting>
  <pageMargins left="0.75" right="0.75" top="1" bottom="1" header="0.5" footer="0.5"/>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Group Box 1">
              <controlPr defaultSize="0" autoFill="0" autoPict="0">
                <anchor>
                  <from>
                    <xdr:col>0</xdr:col>
                    <xdr:colOff>0</xdr:colOff>
                    <xdr:row>0</xdr:row>
                    <xdr:rowOff>76200</xdr:rowOff>
                  </from>
                  <to>
                    <xdr:col>2</xdr:col>
                    <xdr:colOff>0</xdr:colOff>
                    <xdr:row>7</xdr:row>
                    <xdr:rowOff>0</xdr:rowOff>
                  </to>
                </anchor>
              </controlPr>
            </control>
          </mc:Choice>
          <mc:Fallback/>
        </mc:AlternateContent>
        <mc:AlternateContent xmlns:mc="http://schemas.openxmlformats.org/markup-compatibility/2006">
          <mc:Choice Requires="x14">
            <control shapeId="3074" r:id="rId4" name="Option Button 2">
              <controlPr defaultSize="0" autoFill="0" autoLine="0" autoPict="0">
                <anchor moveWithCells="1">
                  <from>
                    <xdr:col>0</xdr:col>
                    <xdr:colOff>203200</xdr:colOff>
                    <xdr:row>1</xdr:row>
                    <xdr:rowOff>101600</xdr:rowOff>
                  </from>
                  <to>
                    <xdr:col>1</xdr:col>
                    <xdr:colOff>317500</xdr:colOff>
                    <xdr:row>3</xdr:row>
                    <xdr:rowOff>12700</xdr:rowOff>
                  </to>
                </anchor>
              </controlPr>
            </control>
          </mc:Choice>
          <mc:Fallback/>
        </mc:AlternateContent>
        <mc:AlternateContent xmlns:mc="http://schemas.openxmlformats.org/markup-compatibility/2006">
          <mc:Choice Requires="x14">
            <control shapeId="3075" r:id="rId5" name="Option Button 3">
              <controlPr defaultSize="0" autoFill="0" autoLine="0" autoPict="0">
                <anchor moveWithCells="1">
                  <from>
                    <xdr:col>0</xdr:col>
                    <xdr:colOff>203200</xdr:colOff>
                    <xdr:row>3</xdr:row>
                    <xdr:rowOff>63500</xdr:rowOff>
                  </from>
                  <to>
                    <xdr:col>1</xdr:col>
                    <xdr:colOff>317500</xdr:colOff>
                    <xdr:row>4</xdr:row>
                    <xdr:rowOff>127000</xdr:rowOff>
                  </to>
                </anchor>
              </controlPr>
            </control>
          </mc:Choice>
          <mc:Fallback/>
        </mc:AlternateContent>
        <mc:AlternateContent xmlns:mc="http://schemas.openxmlformats.org/markup-compatibility/2006">
          <mc:Choice Requires="x14">
            <control shapeId="3081" r:id="rId6" name="Option Button 9">
              <controlPr defaultSize="0" autoFill="0" autoLine="0" autoPict="0">
                <anchor moveWithCells="1">
                  <from>
                    <xdr:col>0</xdr:col>
                    <xdr:colOff>203200</xdr:colOff>
                    <xdr:row>5</xdr:row>
                    <xdr:rowOff>25400</xdr:rowOff>
                  </from>
                  <to>
                    <xdr:col>1</xdr:col>
                    <xdr:colOff>177800</xdr:colOff>
                    <xdr:row>6</xdr:row>
                    <xdr:rowOff>101600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expression" priority="611" stopIfTrue="1" id="{5D010CD0-AC94-B540-A685-BA3384210AC2}">
            <xm:f>AND(NOT(ISBLANK(J11)), J11&lt;&gt;Solution!H4)</xm:f>
            <x14:dxf>
              <font>
                <b/>
                <i val="0"/>
                <color theme="0"/>
              </font>
              <fill>
                <patternFill patternType="solid">
                  <fgColor indexed="64"/>
                  <bgColor rgb="FFFF0000"/>
                </patternFill>
              </fill>
            </x14:dxf>
          </x14:cfRule>
          <xm:sqref>J11 J14 J17 J20 J23 J26 J29 M11 M14 M17 M20 M23 M26 M29 P11 P14 P17 P20 P23 P26 P29 S11 S14 S17 S20 S23 S26 S29 V11 V14 V17 V20 V23 V26 V29 Y11 Y14 Y17 Y20 Y23 Y26 Y29 AB11 AB14 AB17 AB20 AB23 AB26 AB29 AE11 AE14 AE17 AE20 AE23 AE26 AE29 AH11 AH14 AH17 AH20 AH23 AH26 AH29</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2" zoomScale="200" zoomScaleNormal="200" zoomScalePageLayoutView="200" workbookViewId="0">
      <selection activeCell="L7" sqref="L7:AH7"/>
    </sheetView>
  </sheetViews>
  <sheetFormatPr baseColWidth="10" defaultColWidth="8.83203125" defaultRowHeight="12" customHeight="1" x14ac:dyDescent="0"/>
  <cols>
    <col min="1" max="2" width="11.1640625" style="1" customWidth="1"/>
    <col min="3" max="3" width="5" style="1" customWidth="1"/>
    <col min="4" max="5" width="5.5" customWidth="1"/>
    <col min="6" max="6" width="3.33203125" customWidth="1"/>
    <col min="7" max="7" width="4.6640625" customWidth="1"/>
    <col min="8" max="8" width="6.6640625" hidden="1" customWidth="1"/>
    <col min="9" max="10" width="4.6640625" style="1" customWidth="1"/>
    <col min="11" max="11" width="6.33203125" style="1" hidden="1" customWidth="1"/>
    <col min="12" max="13" width="4.6640625" style="1" customWidth="1"/>
    <col min="14" max="14" width="6.33203125" style="1" hidden="1" customWidth="1"/>
    <col min="15" max="16" width="4.6640625" style="1" customWidth="1"/>
    <col min="17" max="17" width="6.6640625" style="1" hidden="1" customWidth="1"/>
    <col min="18" max="19" width="4.6640625" style="1" customWidth="1"/>
    <col min="20" max="20" width="6.33203125" style="1" hidden="1" customWidth="1"/>
    <col min="21" max="22" width="4.6640625" customWidth="1"/>
    <col min="23" max="23" width="6.33203125" hidden="1" customWidth="1"/>
    <col min="24" max="25" width="4.6640625" customWidth="1"/>
    <col min="26" max="26" width="6.1640625" hidden="1" customWidth="1"/>
    <col min="27" max="28" width="4.6640625" customWidth="1"/>
    <col min="29" max="29" width="6.6640625" hidden="1" customWidth="1"/>
    <col min="30" max="31" width="4.6640625" customWidth="1"/>
    <col min="32" max="32" width="7.83203125" hidden="1" customWidth="1"/>
    <col min="33" max="34" width="4.6640625" customWidth="1"/>
    <col min="35" max="35" width="7.1640625" hidden="1" customWidth="1"/>
  </cols>
  <sheetData>
    <row r="1" spans="1:36" ht="17" customHeight="1">
      <c r="A1" s="62" t="str">
        <f>CHOOSE(AlignmentType, "Global", "Semiglobal", "Local") &amp; "  Alignment"</f>
        <v>Global  Alignment</v>
      </c>
      <c r="B1" s="11"/>
      <c r="F1" s="32"/>
    </row>
    <row r="2" spans="1:36" ht="12" customHeight="1">
      <c r="A2" s="60"/>
      <c r="B2" s="61"/>
    </row>
    <row r="3" spans="1:36" s="1" customFormat="1" ht="12" customHeight="1" thickBot="1">
      <c r="A3" s="11"/>
      <c r="B3" s="11"/>
      <c r="AI3"/>
      <c r="AJ3"/>
    </row>
    <row r="4" spans="1:36" s="1" customFormat="1" ht="12" customHeight="1" thickTop="1">
      <c r="A4" s="1" t="s">
        <v>3</v>
      </c>
      <c r="B4" s="1">
        <f xml:space="preserve"> MatchScore</f>
        <v>5</v>
      </c>
      <c r="E4" s="1" t="s">
        <v>49</v>
      </c>
      <c r="AA4" s="91" t="s">
        <v>20</v>
      </c>
      <c r="AB4" s="92" t="s">
        <v>21</v>
      </c>
      <c r="AI4"/>
      <c r="AJ4"/>
    </row>
    <row r="5" spans="1:36" s="1" customFormat="1" ht="12" customHeight="1" thickBot="1">
      <c r="A5" s="1" t="s">
        <v>4</v>
      </c>
      <c r="B5" s="11">
        <f>MismatchScore</f>
        <v>-2</v>
      </c>
      <c r="E5" s="1" t="s">
        <v>50</v>
      </c>
      <c r="AA5" s="93" t="s">
        <v>19</v>
      </c>
      <c r="AB5" s="94" t="str">
        <f>IF(ISBLANK('Worksheet 1 - Scoring Matrix'!AB5), "", 'Worksheet 1 - Scoring Matrix'!AB5)</f>
        <v/>
      </c>
      <c r="AI5"/>
      <c r="AJ5"/>
    </row>
    <row r="6" spans="1:36" s="1" customFormat="1" ht="12" customHeight="1" thickTop="1">
      <c r="A6" s="1" t="s">
        <v>5</v>
      </c>
      <c r="B6" s="11">
        <f>GapScore</f>
        <v>-6</v>
      </c>
      <c r="AI6"/>
      <c r="AJ6"/>
    </row>
    <row r="7" spans="1:36" s="1" customFormat="1" ht="12" customHeight="1" thickBot="1">
      <c r="A7" s="11"/>
      <c r="B7" s="11"/>
      <c r="L7" s="137" t="str">
        <f>LEFT(A28, LEN(A28)-1)</f>
        <v>Subject sequence</v>
      </c>
      <c r="M7" s="138"/>
      <c r="N7" s="138"/>
      <c r="O7" s="138"/>
      <c r="P7" s="138"/>
      <c r="Q7" s="138"/>
      <c r="R7" s="138"/>
      <c r="S7" s="138"/>
      <c r="T7" s="138"/>
      <c r="U7" s="138"/>
      <c r="V7" s="138"/>
      <c r="W7" s="138"/>
      <c r="X7" s="138"/>
      <c r="Y7" s="138"/>
      <c r="Z7" s="138"/>
      <c r="AA7" s="138"/>
      <c r="AB7" s="138"/>
      <c r="AC7" s="138"/>
      <c r="AD7" s="138"/>
      <c r="AE7" s="138"/>
      <c r="AF7" s="138"/>
      <c r="AG7" s="138"/>
      <c r="AH7" s="138"/>
      <c r="AI7"/>
      <c r="AJ7"/>
    </row>
    <row r="8" spans="1:36" s="1" customFormat="1" ht="12" hidden="1" customHeight="1">
      <c r="A8" s="11"/>
      <c r="B8" s="11"/>
      <c r="F8"/>
      <c r="G8" s="1" t="s">
        <v>18</v>
      </c>
      <c r="J8" s="1">
        <f ca="1">MAX(OFFSET(J$11, 0, 0, 3 + 3*SeqB_Length, 1) )</f>
        <v>0</v>
      </c>
      <c r="K8" s="38"/>
      <c r="L8" s="41"/>
      <c r="M8" s="42">
        <f ca="1">MAX(OFFSET(M$11, 0, 0, 3 + 3*SeqB_Length, 1) )</f>
        <v>-2</v>
      </c>
      <c r="N8" s="43"/>
      <c r="O8" s="41"/>
      <c r="P8" s="42">
        <f ca="1">MAX(OFFSET(P$11, 0, 0, 3 + 3*SeqB_Length, 1) )</f>
        <v>-1</v>
      </c>
      <c r="Q8" s="44"/>
      <c r="R8" s="41"/>
      <c r="S8" s="42">
        <f ca="1">MAX(OFFSET(S$11, 0, 0, 3 + 3*SeqB_Length, 1) )</f>
        <v>4</v>
      </c>
      <c r="T8" s="44"/>
      <c r="U8" s="41"/>
      <c r="V8" s="42">
        <f ca="1">MAX(OFFSET(V$11, 0, 0, 3 + 3*SeqB_Length, 1) )</f>
        <v>2</v>
      </c>
      <c r="W8" s="44"/>
      <c r="X8" s="41"/>
      <c r="Y8" s="42">
        <f ca="1">MAX(OFFSET(Y$11, 0, 0, 3 + 3*SeqB_Length, 1) )</f>
        <v>7</v>
      </c>
      <c r="Z8" s="44"/>
      <c r="AA8" s="41"/>
      <c r="AB8" s="42">
        <f ca="1">MAX(OFFSET(AB$11, 0, 0, 3 + 3*SeqB_Length, 1) )</f>
        <v>12</v>
      </c>
      <c r="AC8" s="44"/>
      <c r="AD8" s="41"/>
      <c r="AE8" s="42">
        <f ca="1">MAX(OFFSET(AE$11, 0, 0, 3 + 3*SeqB_Length, 1) )</f>
        <v>10</v>
      </c>
      <c r="AF8" s="44"/>
      <c r="AG8" s="41"/>
      <c r="AH8" s="43">
        <f ca="1">MAX(OFFSET(AH$11, 0, 0, 3 + 3*SeqB_Length, 1) )</f>
        <v>11</v>
      </c>
      <c r="AI8"/>
      <c r="AJ8"/>
    </row>
    <row r="9" spans="1:36" s="1" customFormat="1" ht="12" customHeight="1" thickBot="1">
      <c r="A9" s="129" t="s">
        <v>53</v>
      </c>
      <c r="B9" s="130"/>
      <c r="C9" s="133" t="str">
        <f>L9 &amp; O9 &amp; R9 &amp; U9 &amp; X9 &amp; AA9 &amp; AD9 &amp; AG9</f>
        <v>GACGCAGT</v>
      </c>
      <c r="D9" s="134"/>
      <c r="F9"/>
      <c r="I9" s="49"/>
      <c r="K9" s="40"/>
      <c r="L9" s="139" t="str">
        <f>'Worksheet 1 - Scoring Matrix'!L9:N9</f>
        <v>G</v>
      </c>
      <c r="M9" s="140"/>
      <c r="N9" s="142"/>
      <c r="O9" s="139" t="str">
        <f>'Worksheet 1 - Scoring Matrix'!O9:Q9</f>
        <v>A</v>
      </c>
      <c r="P9" s="140"/>
      <c r="Q9" s="142"/>
      <c r="R9" s="139" t="str">
        <f>'Worksheet 1 - Scoring Matrix'!R9:T9</f>
        <v>C</v>
      </c>
      <c r="S9" s="140"/>
      <c r="T9" s="142"/>
      <c r="U9" s="139" t="str">
        <f>'Worksheet 1 - Scoring Matrix'!U9:W9</f>
        <v>G</v>
      </c>
      <c r="V9" s="140"/>
      <c r="W9" s="142"/>
      <c r="X9" s="139" t="str">
        <f>'Worksheet 1 - Scoring Matrix'!X9:Z9</f>
        <v>C</v>
      </c>
      <c r="Y9" s="140"/>
      <c r="Z9" s="142"/>
      <c r="AA9" s="139" t="str">
        <f>'Worksheet 1 - Scoring Matrix'!AA9:AC9</f>
        <v>A</v>
      </c>
      <c r="AB9" s="140"/>
      <c r="AC9" s="142"/>
      <c r="AD9" s="139" t="str">
        <f>'Worksheet 1 - Scoring Matrix'!AD9:AF9</f>
        <v>G</v>
      </c>
      <c r="AE9" s="140"/>
      <c r="AF9" s="142"/>
      <c r="AG9" s="139" t="str">
        <f>'Worksheet 1 - Scoring Matrix'!AG9:AH9</f>
        <v>T</v>
      </c>
      <c r="AH9" s="140"/>
      <c r="AI9" s="141"/>
      <c r="AJ9" s="63"/>
    </row>
    <row r="10" spans="1:36" s="1" customFormat="1" ht="12" customHeight="1" thickTop="1">
      <c r="A10" s="131" t="s">
        <v>54</v>
      </c>
      <c r="B10" s="132"/>
      <c r="C10" s="135" t="str">
        <f>G13 &amp; G16 &amp; G19 &amp; G22 &amp; G25 &amp; G28</f>
        <v>ACCCAT</v>
      </c>
      <c r="D10" s="136"/>
      <c r="F10"/>
      <c r="I10" s="51"/>
      <c r="J10" s="52"/>
      <c r="K10">
        <f xml:space="preserve"> MAX(Solution!G3,Solution!H3,Solution!G4)</f>
        <v>0</v>
      </c>
      <c r="L10" s="91"/>
      <c r="M10" s="92"/>
      <c r="N10">
        <f xml:space="preserve"> MAX(Solution!J3,Solution!K3,Solution!J4)</f>
        <v>-6</v>
      </c>
      <c r="O10" s="91" t="s">
        <v>20</v>
      </c>
      <c r="P10" s="92" t="s">
        <v>21</v>
      </c>
      <c r="Q10">
        <f xml:space="preserve"> MAX(Solution!M3,Solution!N3,Solution!M4)</f>
        <v>-12</v>
      </c>
      <c r="R10" s="91" t="s">
        <v>20</v>
      </c>
      <c r="S10" s="92" t="s">
        <v>21</v>
      </c>
      <c r="T10">
        <f xml:space="preserve"> MAX(Solution!P3,Solution!Q3,Solution!P4)</f>
        <v>-18</v>
      </c>
      <c r="U10" s="91" t="s">
        <v>20</v>
      </c>
      <c r="V10" s="92" t="s">
        <v>21</v>
      </c>
      <c r="W10">
        <f xml:space="preserve"> MAX(Solution!S3,Solution!T3,Solution!S4)</f>
        <v>-24</v>
      </c>
      <c r="X10" s="91" t="s">
        <v>20</v>
      </c>
      <c r="Y10" s="92" t="s">
        <v>21</v>
      </c>
      <c r="Z10">
        <f xml:space="preserve"> MAX(Solution!V3,Solution!W3,Solution!V4)</f>
        <v>-30</v>
      </c>
      <c r="AA10" s="91" t="s">
        <v>20</v>
      </c>
      <c r="AB10" s="92" t="s">
        <v>21</v>
      </c>
      <c r="AC10">
        <f xml:space="preserve"> MAX(Solution!Y3,Solution!Z3,Solution!Y4)</f>
        <v>-36</v>
      </c>
      <c r="AD10" s="91" t="s">
        <v>20</v>
      </c>
      <c r="AE10" s="92" t="s">
        <v>21</v>
      </c>
      <c r="AF10">
        <f xml:space="preserve"> MAX(Solution!AB3,Solution!AC3,Solution!AB4)</f>
        <v>-42</v>
      </c>
      <c r="AG10" s="91" t="s">
        <v>20</v>
      </c>
      <c r="AH10" s="92" t="s">
        <v>21</v>
      </c>
      <c r="AI10">
        <f xml:space="preserve"> MAX(Solution!AE3,Solution!AF3,Solution!AE4)</f>
        <v>-48</v>
      </c>
      <c r="AJ10"/>
    </row>
    <row r="11" spans="1:36" s="1" customFormat="1" ht="12" customHeight="1" thickBot="1">
      <c r="F11"/>
      <c r="I11" s="53"/>
      <c r="J11" s="37">
        <f>IF(ISBLANK('Worksheet 1 - Scoring Matrix'!J11), "", 'Worksheet 1 - Scoring Matrix'!J11)</f>
        <v>0</v>
      </c>
      <c r="K11" t="b">
        <f ca="1">AND( (ISBLANK(I10)=(Solution!G3 &lt;&gt; K10)), (ISBLANK(J10)=(Solution!H3 &lt;&gt; K10)), (ISBLANK(I11)=(Solution!G4 &lt;&gt; K10)), Solution!I5  )</f>
        <v>0</v>
      </c>
      <c r="L11" s="93" t="s">
        <v>19</v>
      </c>
      <c r="M11" s="94">
        <f>IF(ISBLANK('Worksheet 1 - Scoring Matrix'!M11), "", 'Worksheet 1 - Scoring Matrix'!M11)</f>
        <v>-6</v>
      </c>
      <c r="N11" t="b">
        <f ca="1">AND( (ISBLANK(L10)=(Solution!J3 &lt;&gt; N10)), (ISBLANK(M10)=(Solution!K3 &lt;&gt; N10)), (ISBLANK(L11)=(Solution!J4 &lt;&gt; N10)), Solution!L5  )</f>
        <v>1</v>
      </c>
      <c r="O11" s="93" t="s">
        <v>19</v>
      </c>
      <c r="P11" s="94">
        <f>IF(ISBLANK('Worksheet 1 - Scoring Matrix'!P11), "", 'Worksheet 1 - Scoring Matrix'!P11)</f>
        <v>-12</v>
      </c>
      <c r="Q11" t="b">
        <f ca="1">AND( (ISBLANK(O10)=(Solution!M3 &lt;&gt; Q10)), (ISBLANK(P10)=(Solution!N3 &lt;&gt; Q10)), (ISBLANK(O11)=(Solution!M4 &lt;&gt; Q10)), Solution!O5  )</f>
        <v>0</v>
      </c>
      <c r="R11" s="93" t="s">
        <v>19</v>
      </c>
      <c r="S11" s="94">
        <f>IF(ISBLANK('Worksheet 1 - Scoring Matrix'!S11), "", 'Worksheet 1 - Scoring Matrix'!S11)</f>
        <v>-18</v>
      </c>
      <c r="T11" t="b">
        <f ca="1">AND( (ISBLANK(R10)=(Solution!P3 &lt;&gt; T10)), (ISBLANK(S10)=(Solution!Q3 &lt;&gt; T10)), (ISBLANK(R11)=(Solution!P4 &lt;&gt; T10)), Solution!R5  )</f>
        <v>0</v>
      </c>
      <c r="U11" s="93" t="s">
        <v>19</v>
      </c>
      <c r="V11" s="94">
        <f>IF(ISBLANK('Worksheet 1 - Scoring Matrix'!V11), "", 'Worksheet 1 - Scoring Matrix'!V11)</f>
        <v>-24</v>
      </c>
      <c r="W11" t="b">
        <f ca="1">AND( (ISBLANK(U10)=(Solution!S3 &lt;&gt; W10)), (ISBLANK(V10)=(Solution!T3 &lt;&gt; W10)), (ISBLANK(U11)=(Solution!S4 &lt;&gt; W10)), Solution!U5  )</f>
        <v>0</v>
      </c>
      <c r="X11" s="93" t="s">
        <v>19</v>
      </c>
      <c r="Y11" s="94">
        <f>IF(ISBLANK('Worksheet 1 - Scoring Matrix'!Y11), "", 'Worksheet 1 - Scoring Matrix'!Y11)</f>
        <v>-30</v>
      </c>
      <c r="Z11" t="b">
        <f ca="1">AND( (ISBLANK(X10)=(Solution!V3 &lt;&gt; Z10)), (ISBLANK(Y10)=(Solution!W3 &lt;&gt; Z10)), (ISBLANK(X11)=(Solution!V4 &lt;&gt; Z10)), Solution!X5  )</f>
        <v>0</v>
      </c>
      <c r="AA11" s="93" t="s">
        <v>19</v>
      </c>
      <c r="AB11" s="94">
        <f>IF(ISBLANK('Worksheet 1 - Scoring Matrix'!AB11), "", 'Worksheet 1 - Scoring Matrix'!AB11)</f>
        <v>-36</v>
      </c>
      <c r="AC11" t="b">
        <f ca="1">AND( (ISBLANK(AA10)=(Solution!Y3 &lt;&gt; AC10)), (ISBLANK(AB10)=(Solution!Z3 &lt;&gt; AC10)), (ISBLANK(AA11)=(Solution!Y4 &lt;&gt; AC10)), Solution!AA5  )</f>
        <v>0</v>
      </c>
      <c r="AD11" s="93" t="s">
        <v>19</v>
      </c>
      <c r="AE11" s="94">
        <f>IF(ISBLANK('Worksheet 1 - Scoring Matrix'!AE11), "", 'Worksheet 1 - Scoring Matrix'!AE11)</f>
        <v>-42</v>
      </c>
      <c r="AF11" t="b">
        <f ca="1">AND( (ISBLANK(AD10)=(Solution!AB3 &lt;&gt; AF10)), (ISBLANK(AE10)=(Solution!AC3 &lt;&gt; AF10)), (ISBLANK(AD11)=(Solution!AB4 &lt;&gt; AF10)), Solution!AD5  )</f>
        <v>0</v>
      </c>
      <c r="AG11" s="93" t="s">
        <v>19</v>
      </c>
      <c r="AH11" s="94">
        <f>IF(ISBLANK('Worksheet 1 - Scoring Matrix'!AH11), "", 'Worksheet 1 - Scoring Matrix'!AH11)</f>
        <v>-48</v>
      </c>
      <c r="AI11" t="b">
        <f ca="1">AND( (ISBLANK(AG10)=(Solution!AE3 &lt;&gt; AI10)), (ISBLANK(AH10)=(Solution!AF3 &lt;&gt; AI10)), (ISBLANK(AG11)=(Solution!AE4 &lt;&gt; AI10)), Solution!AG5  )</f>
        <v>0</v>
      </c>
      <c r="AJ11"/>
    </row>
    <row r="12" spans="1:36" s="1" customFormat="1" ht="12" hidden="1" customHeight="1" thickBot="1">
      <c r="F12"/>
      <c r="G12"/>
      <c r="I12"/>
      <c r="J12"/>
      <c r="K12"/>
      <c r="L12"/>
      <c r="M12"/>
      <c r="N12"/>
      <c r="O12"/>
      <c r="P12"/>
      <c r="Q12"/>
      <c r="R12"/>
      <c r="S12"/>
      <c r="T12"/>
      <c r="U12"/>
      <c r="V12"/>
      <c r="W12"/>
      <c r="X12"/>
      <c r="Y12"/>
      <c r="Z12"/>
      <c r="AA12"/>
      <c r="AB12"/>
      <c r="AC12"/>
      <c r="AD12"/>
      <c r="AE12"/>
      <c r="AF12"/>
      <c r="AG12"/>
      <c r="AH12"/>
      <c r="AI12"/>
      <c r="AJ12"/>
    </row>
    <row r="13" spans="1:36" s="1" customFormat="1" ht="12" customHeight="1" thickTop="1">
      <c r="F13" s="107" t="str">
        <f>LEFT(A29, LEN(A29)-1)</f>
        <v>Query sequence</v>
      </c>
      <c r="G13" s="45" t="str">
        <f>'Worksheet 1 - Scoring Matrix'!G13</f>
        <v>A</v>
      </c>
      <c r="I13" s="91" t="s">
        <v>20</v>
      </c>
      <c r="J13" s="92" t="s">
        <v>21</v>
      </c>
      <c r="K13">
        <f xml:space="preserve"> MAX(Solution!G6,Solution!H6,Solution!G7)</f>
        <v>-6</v>
      </c>
      <c r="L13" s="91" t="s">
        <v>20</v>
      </c>
      <c r="M13" s="92" t="s">
        <v>21</v>
      </c>
      <c r="N13">
        <f xml:space="preserve"> MAX(Solution!J6,Solution!K6,Solution!J7)</f>
        <v>-2</v>
      </c>
      <c r="O13" s="91" t="s">
        <v>20</v>
      </c>
      <c r="P13" s="92"/>
      <c r="Q13">
        <f xml:space="preserve"> MAX(Solution!M6,Solution!N6,Solution!M7)</f>
        <v>-1</v>
      </c>
      <c r="R13" s="91" t="s">
        <v>20</v>
      </c>
      <c r="S13" s="92" t="s">
        <v>21</v>
      </c>
      <c r="T13">
        <f xml:space="preserve"> MAX(Solution!P6,Solution!Q6,Solution!P7)</f>
        <v>-7</v>
      </c>
      <c r="U13" s="91" t="s">
        <v>20</v>
      </c>
      <c r="V13" s="92" t="s">
        <v>21</v>
      </c>
      <c r="W13">
        <f xml:space="preserve"> MAX(Solution!S6,Solution!T6,Solution!S7)</f>
        <v>-13</v>
      </c>
      <c r="X13" s="91" t="s">
        <v>20</v>
      </c>
      <c r="Y13" s="92" t="s">
        <v>21</v>
      </c>
      <c r="Z13">
        <f xml:space="preserve"> MAX(Solution!V6,Solution!W6,Solution!V7)</f>
        <v>-19</v>
      </c>
      <c r="AA13" s="91" t="s">
        <v>20</v>
      </c>
      <c r="AB13" s="92" t="s">
        <v>21</v>
      </c>
      <c r="AC13">
        <f xml:space="preserve"> MAX(Solution!Y6,Solution!Z6,Solution!Y7)</f>
        <v>-25</v>
      </c>
      <c r="AD13" s="91" t="s">
        <v>20</v>
      </c>
      <c r="AE13" s="92" t="s">
        <v>21</v>
      </c>
      <c r="AF13">
        <f xml:space="preserve"> MAX(Solution!AB6,Solution!AC6,Solution!AB7)</f>
        <v>-31</v>
      </c>
      <c r="AG13" s="91" t="s">
        <v>20</v>
      </c>
      <c r="AH13" s="92" t="s">
        <v>21</v>
      </c>
      <c r="AI13">
        <f xml:space="preserve"> MAX(Solution!AE6,Solution!AF6,Solution!AE7)</f>
        <v>-37</v>
      </c>
      <c r="AJ13"/>
    </row>
    <row r="14" spans="1:36" s="1" customFormat="1" ht="12" customHeight="1" thickBot="1">
      <c r="F14" s="108"/>
      <c r="G14" s="46"/>
      <c r="I14" s="93" t="s">
        <v>19</v>
      </c>
      <c r="J14" s="94">
        <f>IF(ISBLANK('Worksheet 1 - Scoring Matrix'!J14), "", 'Worksheet 1 - Scoring Matrix'!J14)</f>
        <v>-6</v>
      </c>
      <c r="K14" t="b">
        <f ca="1">AND( (ISBLANK(I13)=(Solution!G6 &lt;&gt; K13)), (ISBLANK(J13)=(Solution!H6 &lt;&gt; K13)), (ISBLANK(I14)=(Solution!G7 &lt;&gt; K13)), Solution!I8  )</f>
        <v>0</v>
      </c>
      <c r="L14" s="93" t="s">
        <v>19</v>
      </c>
      <c r="M14" s="94">
        <f>IF(ISBLANK('Worksheet 1 - Scoring Matrix'!M14), "", 'Worksheet 1 - Scoring Matrix'!M14)</f>
        <v>-2</v>
      </c>
      <c r="N14" t="b">
        <f ca="1">AND( (ISBLANK(L13)=(Solution!J6 &lt;&gt; N13)), (ISBLANK(M13)=(Solution!K6 &lt;&gt; N13)), (ISBLANK(L14)=(Solution!J7 &lt;&gt; N13)), Solution!L8  )</f>
        <v>0</v>
      </c>
      <c r="O14" s="93"/>
      <c r="P14" s="94">
        <f>IF(ISBLANK('Worksheet 1 - Scoring Matrix'!P14), "", 'Worksheet 1 - Scoring Matrix'!P14)</f>
        <v>-1</v>
      </c>
      <c r="Q14" t="b">
        <f ca="1">AND( (ISBLANK(O13)=(Solution!M6 &lt;&gt; Q13)), (ISBLANK(P13)=(Solution!N6 &lt;&gt; Q13)), (ISBLANK(O14)=(Solution!M7 &lt;&gt; Q13)), Solution!O8  )</f>
        <v>1</v>
      </c>
      <c r="R14" s="93" t="s">
        <v>19</v>
      </c>
      <c r="S14" s="94">
        <f>IF(ISBLANK('Worksheet 1 - Scoring Matrix'!S14), "", 'Worksheet 1 - Scoring Matrix'!S14)</f>
        <v>-7</v>
      </c>
      <c r="T14" t="b">
        <f ca="1">AND( (ISBLANK(R13)=(Solution!P6 &lt;&gt; T13)), (ISBLANK(S13)=(Solution!Q6 &lt;&gt; T13)), (ISBLANK(R14)=(Solution!P7 &lt;&gt; T13)), Solution!R8  )</f>
        <v>0</v>
      </c>
      <c r="U14" s="93" t="s">
        <v>19</v>
      </c>
      <c r="V14" s="94">
        <f>IF(ISBLANK('Worksheet 1 - Scoring Matrix'!V14), "", 'Worksheet 1 - Scoring Matrix'!V14)</f>
        <v>-13</v>
      </c>
      <c r="W14" t="b">
        <f ca="1">AND( (ISBLANK(U13)=(Solution!S6 &lt;&gt; W13)), (ISBLANK(V13)=(Solution!T6 &lt;&gt; W13)), (ISBLANK(U14)=(Solution!S7 &lt;&gt; W13)), Solution!U8  )</f>
        <v>0</v>
      </c>
      <c r="X14" s="93" t="s">
        <v>19</v>
      </c>
      <c r="Y14" s="94">
        <f>IF(ISBLANK('Worksheet 1 - Scoring Matrix'!Y14), "", 'Worksheet 1 - Scoring Matrix'!Y14)</f>
        <v>-19</v>
      </c>
      <c r="Z14" t="b">
        <f ca="1">AND( (ISBLANK(X13)=(Solution!V6 &lt;&gt; Z13)), (ISBLANK(Y13)=(Solution!W6 &lt;&gt; Z13)), (ISBLANK(X14)=(Solution!V7 &lt;&gt; Z13)), Solution!X8  )</f>
        <v>0</v>
      </c>
      <c r="AA14" s="93" t="s">
        <v>19</v>
      </c>
      <c r="AB14" s="94">
        <f>IF(ISBLANK('Worksheet 1 - Scoring Matrix'!AB14), "", 'Worksheet 1 - Scoring Matrix'!AB14)</f>
        <v>-25</v>
      </c>
      <c r="AC14" t="b">
        <f ca="1">AND( (ISBLANK(AA13)=(Solution!Y6 &lt;&gt; AC13)), (ISBLANK(AB13)=(Solution!Z6 &lt;&gt; AC13)), (ISBLANK(AA14)=(Solution!Y7 &lt;&gt; AC13)), Solution!AA8  )</f>
        <v>0</v>
      </c>
      <c r="AD14" s="93" t="s">
        <v>19</v>
      </c>
      <c r="AE14" s="94">
        <f>IF(ISBLANK('Worksheet 1 - Scoring Matrix'!AE14), "", 'Worksheet 1 - Scoring Matrix'!AE14)</f>
        <v>-31</v>
      </c>
      <c r="AF14" t="b">
        <f ca="1">AND( (ISBLANK(AD13)=(Solution!AB6 &lt;&gt; AF13)), (ISBLANK(AE13)=(Solution!AC6 &lt;&gt; AF13)), (ISBLANK(AD14)=(Solution!AB7 &lt;&gt; AF13)), Solution!AD8  )</f>
        <v>0</v>
      </c>
      <c r="AG14" s="93" t="s">
        <v>19</v>
      </c>
      <c r="AH14" s="94">
        <f>IF(ISBLANK('Worksheet 1 - Scoring Matrix'!AH14), "", 'Worksheet 1 - Scoring Matrix'!AH14)</f>
        <v>-37</v>
      </c>
      <c r="AI14" t="b">
        <f ca="1">AND( (ISBLANK(AG13)=(Solution!AE6 &lt;&gt; AI13)), (ISBLANK(AH13)=(Solution!AF6 &lt;&gt; AI13)), (ISBLANK(AG14)=(Solution!AE7 &lt;&gt; AI13)), Solution!AG8  )</f>
        <v>0</v>
      </c>
      <c r="AJ14"/>
    </row>
    <row r="15" spans="1:36" s="1" customFormat="1" ht="12" hidden="1" customHeight="1" thickBot="1">
      <c r="F15" s="108"/>
      <c r="G15" s="47"/>
      <c r="I15"/>
      <c r="J15"/>
      <c r="K15"/>
      <c r="L15"/>
      <c r="M15"/>
      <c r="N15"/>
      <c r="O15"/>
      <c r="P15"/>
      <c r="Q15"/>
      <c r="R15"/>
      <c r="S15"/>
      <c r="T15"/>
      <c r="U15"/>
      <c r="V15"/>
      <c r="W15"/>
      <c r="X15"/>
      <c r="Y15"/>
      <c r="Z15"/>
      <c r="AA15"/>
      <c r="AB15"/>
      <c r="AC15"/>
      <c r="AD15"/>
      <c r="AE15"/>
      <c r="AF15"/>
      <c r="AG15"/>
      <c r="AH15"/>
      <c r="AI15"/>
      <c r="AJ15"/>
    </row>
    <row r="16" spans="1:36" s="1" customFormat="1" ht="12" customHeight="1" thickTop="1">
      <c r="A16" s="12" t="s">
        <v>51</v>
      </c>
      <c r="B16" s="2"/>
      <c r="C16" s="13">
        <f>SeqA_Length</f>
        <v>8</v>
      </c>
      <c r="F16" s="108"/>
      <c r="G16" s="45" t="str">
        <f>'Worksheet 1 - Scoring Matrix'!G16</f>
        <v>C</v>
      </c>
      <c r="I16" s="91" t="s">
        <v>20</v>
      </c>
      <c r="J16" s="92" t="s">
        <v>21</v>
      </c>
      <c r="K16">
        <f xml:space="preserve"> MAX(Solution!G9,Solution!H9,Solution!G10)</f>
        <v>-12</v>
      </c>
      <c r="L16" s="91" t="s">
        <v>20</v>
      </c>
      <c r="M16" s="92" t="s">
        <v>21</v>
      </c>
      <c r="N16">
        <f xml:space="preserve"> MAX(Solution!J9,Solution!K9,Solution!J10)</f>
        <v>-8</v>
      </c>
      <c r="O16" s="91" t="s">
        <v>20</v>
      </c>
      <c r="P16" s="92" t="s">
        <v>21</v>
      </c>
      <c r="Q16">
        <f xml:space="preserve"> MAX(Solution!M9,Solution!N9,Solution!M10)</f>
        <v>-4</v>
      </c>
      <c r="R16" s="91" t="s">
        <v>20</v>
      </c>
      <c r="S16" s="92"/>
      <c r="T16">
        <f xml:space="preserve"> MAX(Solution!P9,Solution!Q9,Solution!P10)</f>
        <v>4</v>
      </c>
      <c r="U16" s="91" t="s">
        <v>20</v>
      </c>
      <c r="V16" s="92" t="s">
        <v>21</v>
      </c>
      <c r="W16">
        <f xml:space="preserve"> MAX(Solution!S9,Solution!T9,Solution!S10)</f>
        <v>-2</v>
      </c>
      <c r="X16" s="91" t="s">
        <v>20</v>
      </c>
      <c r="Y16" s="92" t="s">
        <v>21</v>
      </c>
      <c r="Z16">
        <f xml:space="preserve"> MAX(Solution!V9,Solution!W9,Solution!V10)</f>
        <v>-8</v>
      </c>
      <c r="AA16" s="91" t="s">
        <v>20</v>
      </c>
      <c r="AB16" s="92" t="s">
        <v>21</v>
      </c>
      <c r="AC16">
        <f xml:space="preserve"> MAX(Solution!Y9,Solution!Z9,Solution!Y10)</f>
        <v>-14</v>
      </c>
      <c r="AD16" s="91" t="s">
        <v>20</v>
      </c>
      <c r="AE16" s="92" t="s">
        <v>21</v>
      </c>
      <c r="AF16">
        <f xml:space="preserve"> MAX(Solution!AB9,Solution!AC9,Solution!AB10)</f>
        <v>-20</v>
      </c>
      <c r="AG16" s="91" t="s">
        <v>20</v>
      </c>
      <c r="AH16" s="92" t="s">
        <v>21</v>
      </c>
      <c r="AI16">
        <f xml:space="preserve"> MAX(Solution!AE9,Solution!AF9,Solution!AE10)</f>
        <v>-26</v>
      </c>
      <c r="AJ16"/>
    </row>
    <row r="17" spans="1:36" s="1" customFormat="1" ht="12" customHeight="1" thickBot="1">
      <c r="A17" s="14" t="s">
        <v>52</v>
      </c>
      <c r="B17" s="15"/>
      <c r="C17" s="16">
        <f>SeqB_Length</f>
        <v>6</v>
      </c>
      <c r="F17" s="108"/>
      <c r="G17" s="46"/>
      <c r="I17" s="93" t="s">
        <v>19</v>
      </c>
      <c r="J17" s="94">
        <f>IF(ISBLANK('Worksheet 1 - Scoring Matrix'!J17), "", 'Worksheet 1 - Scoring Matrix'!J17)</f>
        <v>-12</v>
      </c>
      <c r="K17" t="b">
        <f ca="1">AND( (ISBLANK(I16)=(Solution!G9 &lt;&gt; K16)), (ISBLANK(J16)=(Solution!H9 &lt;&gt; K16)), (ISBLANK(I17)=(Solution!G10 &lt;&gt; K16)), Solution!I11  )</f>
        <v>0</v>
      </c>
      <c r="L17" s="93" t="s">
        <v>19</v>
      </c>
      <c r="M17" s="94">
        <f>IF(ISBLANK('Worksheet 1 - Scoring Matrix'!M17), "", 'Worksheet 1 - Scoring Matrix'!M17)</f>
        <v>-8</v>
      </c>
      <c r="N17" t="b">
        <f ca="1">AND( (ISBLANK(L16)=(Solution!J9 &lt;&gt; N16)), (ISBLANK(M16)=(Solution!K9 &lt;&gt; N16)), (ISBLANK(L17)=(Solution!J10 &lt;&gt; N16)), Solution!L11  )</f>
        <v>0</v>
      </c>
      <c r="O17" s="93" t="s">
        <v>19</v>
      </c>
      <c r="P17" s="94">
        <f>IF(ISBLANK('Worksheet 1 - Scoring Matrix'!P17), "", 'Worksheet 1 - Scoring Matrix'!P17)</f>
        <v>-4</v>
      </c>
      <c r="Q17" t="b">
        <f ca="1">AND( (ISBLANK(O16)=(Solution!M9 &lt;&gt; Q16)), (ISBLANK(P16)=(Solution!N9 &lt;&gt; Q16)), (ISBLANK(O17)=(Solution!M10 &lt;&gt; Q16)), Solution!O11  )</f>
        <v>0</v>
      </c>
      <c r="R17" s="93"/>
      <c r="S17" s="94">
        <f>IF(ISBLANK('Worksheet 1 - Scoring Matrix'!S17), "", 'Worksheet 1 - Scoring Matrix'!S17)</f>
        <v>4</v>
      </c>
      <c r="T17" t="b">
        <f ca="1">AND( (ISBLANK(R16)=(Solution!P9 &lt;&gt; T16)), (ISBLANK(S16)=(Solution!Q9 &lt;&gt; T16)), (ISBLANK(R17)=(Solution!P10 &lt;&gt; T16)), Solution!R11  )</f>
        <v>1</v>
      </c>
      <c r="U17" s="93" t="s">
        <v>19</v>
      </c>
      <c r="V17" s="94">
        <f>IF(ISBLANK('Worksheet 1 - Scoring Matrix'!V17), "", 'Worksheet 1 - Scoring Matrix'!V17)</f>
        <v>-2</v>
      </c>
      <c r="W17" t="b">
        <f ca="1">AND( (ISBLANK(U16)=(Solution!S9 &lt;&gt; W16)), (ISBLANK(V16)=(Solution!T9 &lt;&gt; W16)), (ISBLANK(U17)=(Solution!S10 &lt;&gt; W16)), Solution!U11  )</f>
        <v>0</v>
      </c>
      <c r="X17" s="93" t="s">
        <v>19</v>
      </c>
      <c r="Y17" s="94">
        <f>IF(ISBLANK('Worksheet 1 - Scoring Matrix'!Y17), "", 'Worksheet 1 - Scoring Matrix'!Y17)</f>
        <v>-8</v>
      </c>
      <c r="Z17" t="b">
        <f ca="1">AND( (ISBLANK(X16)=(Solution!V9 &lt;&gt; Z16)), (ISBLANK(Y16)=(Solution!W9 &lt;&gt; Z16)), (ISBLANK(X17)=(Solution!V10 &lt;&gt; Z16)), Solution!X11  )</f>
        <v>0</v>
      </c>
      <c r="AA17" s="93" t="s">
        <v>19</v>
      </c>
      <c r="AB17" s="94">
        <f>IF(ISBLANK('Worksheet 1 - Scoring Matrix'!AB17), "", 'Worksheet 1 - Scoring Matrix'!AB17)</f>
        <v>-14</v>
      </c>
      <c r="AC17" t="b">
        <f ca="1">AND( (ISBLANK(AA16)=(Solution!Y9 &lt;&gt; AC16)), (ISBLANK(AB16)=(Solution!Z9 &lt;&gt; AC16)), (ISBLANK(AA17)=(Solution!Y10 &lt;&gt; AC16)), Solution!AA11  )</f>
        <v>0</v>
      </c>
      <c r="AD17" s="93" t="s">
        <v>19</v>
      </c>
      <c r="AE17" s="94">
        <f>IF(ISBLANK('Worksheet 1 - Scoring Matrix'!AE17), "", 'Worksheet 1 - Scoring Matrix'!AE17)</f>
        <v>-20</v>
      </c>
      <c r="AF17" t="b">
        <f ca="1">AND( (ISBLANK(AD16)=(Solution!AB9 &lt;&gt; AF16)), (ISBLANK(AE16)=(Solution!AC9 &lt;&gt; AF16)), (ISBLANK(AD17)=(Solution!AB10 &lt;&gt; AF16)), Solution!AD11  )</f>
        <v>0</v>
      </c>
      <c r="AG17" s="93" t="s">
        <v>19</v>
      </c>
      <c r="AH17" s="94">
        <f>IF(ISBLANK('Worksheet 1 - Scoring Matrix'!AH17), "", 'Worksheet 1 - Scoring Matrix'!AH17)</f>
        <v>-26</v>
      </c>
      <c r="AI17" t="b">
        <f ca="1">AND( (ISBLANK(AG16)=(Solution!AE9 &lt;&gt; AI16)), (ISBLANK(AH16)=(Solution!AF9 &lt;&gt; AI16)), (ISBLANK(AG17)=(Solution!AE10 &lt;&gt; AI16)), Solution!AG11  )</f>
        <v>0</v>
      </c>
      <c r="AJ17"/>
    </row>
    <row r="18" spans="1:36" s="1" customFormat="1" ht="12" hidden="1" customHeight="1" thickBot="1">
      <c r="F18" s="108"/>
      <c r="G18" s="47"/>
      <c r="I18"/>
      <c r="J18"/>
      <c r="K18"/>
      <c r="L18"/>
      <c r="M18"/>
      <c r="N18"/>
      <c r="O18"/>
      <c r="P18"/>
      <c r="Q18"/>
      <c r="R18"/>
      <c r="S18"/>
      <c r="T18"/>
      <c r="U18"/>
      <c r="V18"/>
      <c r="W18"/>
      <c r="X18"/>
      <c r="Y18"/>
      <c r="Z18"/>
      <c r="AA18"/>
      <c r="AB18"/>
      <c r="AC18"/>
      <c r="AD18"/>
      <c r="AE18"/>
      <c r="AF18"/>
      <c r="AG18"/>
      <c r="AH18"/>
      <c r="AI18"/>
      <c r="AJ18"/>
    </row>
    <row r="19" spans="1:36" s="1" customFormat="1" ht="12" customHeight="1" thickTop="1">
      <c r="A19" s="72" t="s">
        <v>17</v>
      </c>
      <c r="B19" s="73"/>
      <c r="C19" s="74">
        <f ca="1">CHOOSE(AlignmentType, OFFSET($J$11, 3*SeqB_Length, 3*SeqA_Length), MAX(OFFSET($J$8, 0, 3*SeqA_Length) ), MAX(OFFSET($J$8, 0, 0, 1, 1 + 3*SeqA_Length) )   )</f>
        <v>11</v>
      </c>
      <c r="F19" s="108"/>
      <c r="G19" s="45" t="str">
        <f>'Worksheet 1 - Scoring Matrix'!G19</f>
        <v>C</v>
      </c>
      <c r="I19" s="91" t="s">
        <v>20</v>
      </c>
      <c r="J19" s="92" t="s">
        <v>21</v>
      </c>
      <c r="K19">
        <f xml:space="preserve"> MAX(Solution!G12,Solution!H12,Solution!G13)</f>
        <v>-18</v>
      </c>
      <c r="L19" s="91" t="s">
        <v>20</v>
      </c>
      <c r="M19" s="92" t="s">
        <v>21</v>
      </c>
      <c r="N19">
        <f xml:space="preserve"> MAX(Solution!J12,Solution!K12,Solution!J13)</f>
        <v>-14</v>
      </c>
      <c r="O19" s="91" t="s">
        <v>20</v>
      </c>
      <c r="P19" s="92" t="s">
        <v>21</v>
      </c>
      <c r="Q19">
        <f xml:space="preserve"> MAX(Solution!M12,Solution!N12,Solution!M13)</f>
        <v>-10</v>
      </c>
      <c r="R19" s="91" t="s">
        <v>20</v>
      </c>
      <c r="S19" s="92" t="s">
        <v>21</v>
      </c>
      <c r="T19">
        <f xml:space="preserve"> MAX(Solution!P12,Solution!Q12,Solution!P13)</f>
        <v>1</v>
      </c>
      <c r="U19" s="91" t="s">
        <v>20</v>
      </c>
      <c r="V19" s="92"/>
      <c r="W19">
        <f xml:space="preserve"> MAX(Solution!S12,Solution!T12,Solution!S13)</f>
        <v>2</v>
      </c>
      <c r="X19" s="91" t="s">
        <v>20</v>
      </c>
      <c r="Y19" s="92" t="s">
        <v>21</v>
      </c>
      <c r="Z19">
        <f xml:space="preserve"> MAX(Solution!V12,Solution!W12,Solution!V13)</f>
        <v>3</v>
      </c>
      <c r="AA19" s="91" t="s">
        <v>20</v>
      </c>
      <c r="AB19" s="92" t="s">
        <v>21</v>
      </c>
      <c r="AC19">
        <f xml:space="preserve"> MAX(Solution!Y12,Solution!Z12,Solution!Y13)</f>
        <v>-3</v>
      </c>
      <c r="AD19" s="91" t="s">
        <v>20</v>
      </c>
      <c r="AE19" s="92" t="s">
        <v>21</v>
      </c>
      <c r="AF19">
        <f xml:space="preserve"> MAX(Solution!AB12,Solution!AC12,Solution!AB13)</f>
        <v>-9</v>
      </c>
      <c r="AG19" s="91" t="s">
        <v>20</v>
      </c>
      <c r="AH19" s="92" t="s">
        <v>21</v>
      </c>
      <c r="AI19">
        <f xml:space="preserve"> MAX(Solution!AE12,Solution!AF12,Solution!AE13)</f>
        <v>-15</v>
      </c>
      <c r="AJ19"/>
    </row>
    <row r="20" spans="1:36" s="1" customFormat="1" ht="12" customHeight="1" thickBot="1">
      <c r="F20" s="108"/>
      <c r="G20" s="46"/>
      <c r="I20" s="93" t="s">
        <v>19</v>
      </c>
      <c r="J20" s="94">
        <f>IF(ISBLANK('Worksheet 1 - Scoring Matrix'!J20), "", 'Worksheet 1 - Scoring Matrix'!J20)</f>
        <v>-18</v>
      </c>
      <c r="K20" t="b">
        <f ca="1">AND( (ISBLANK(I19)=(Solution!G12 &lt;&gt; K19)), (ISBLANK(J19)=(Solution!H12 &lt;&gt; K19)), (ISBLANK(I20)=(Solution!G13 &lt;&gt; K19)), Solution!I14  )</f>
        <v>0</v>
      </c>
      <c r="L20" s="93" t="s">
        <v>19</v>
      </c>
      <c r="M20" s="94">
        <f>IF(ISBLANK('Worksheet 1 - Scoring Matrix'!M20), "", 'Worksheet 1 - Scoring Matrix'!M20)</f>
        <v>-14</v>
      </c>
      <c r="N20" t="b">
        <f ca="1">AND( (ISBLANK(L19)=(Solution!J12 &lt;&gt; N19)), (ISBLANK(M19)=(Solution!K12 &lt;&gt; N19)), (ISBLANK(L20)=(Solution!J13 &lt;&gt; N19)), Solution!L14  )</f>
        <v>0</v>
      </c>
      <c r="O20" s="93" t="s">
        <v>19</v>
      </c>
      <c r="P20" s="94">
        <f>IF(ISBLANK('Worksheet 1 - Scoring Matrix'!P20), "", 'Worksheet 1 - Scoring Matrix'!P20)</f>
        <v>-10</v>
      </c>
      <c r="Q20" t="b">
        <f ca="1">AND( (ISBLANK(O19)=(Solution!M12 &lt;&gt; Q19)), (ISBLANK(P19)=(Solution!N12 &lt;&gt; Q19)), (ISBLANK(O20)=(Solution!M13 &lt;&gt; Q19)), Solution!O14  )</f>
        <v>0</v>
      </c>
      <c r="R20" s="93" t="s">
        <v>19</v>
      </c>
      <c r="S20" s="94">
        <f>IF(ISBLANK('Worksheet 1 - Scoring Matrix'!S20), "", 'Worksheet 1 - Scoring Matrix'!S20)</f>
        <v>1</v>
      </c>
      <c r="T20" t="b">
        <f ca="1">AND( (ISBLANK(R19)=(Solution!P12 &lt;&gt; T19)), (ISBLANK(S19)=(Solution!Q12 &lt;&gt; T19)), (ISBLANK(R20)=(Solution!P13 &lt;&gt; T19)), Solution!R14  )</f>
        <v>0</v>
      </c>
      <c r="U20" s="93"/>
      <c r="V20" s="94">
        <f>IF(ISBLANK('Worksheet 1 - Scoring Matrix'!V20), "", 'Worksheet 1 - Scoring Matrix'!V20)</f>
        <v>2</v>
      </c>
      <c r="W20" t="b">
        <f ca="1">AND( (ISBLANK(U19)=(Solution!S12 &lt;&gt; W19)), (ISBLANK(V19)=(Solution!T12 &lt;&gt; W19)), (ISBLANK(U20)=(Solution!S13 &lt;&gt; W19)), Solution!U14  )</f>
        <v>1</v>
      </c>
      <c r="X20" s="93" t="s">
        <v>19</v>
      </c>
      <c r="Y20" s="94">
        <f>IF(ISBLANK('Worksheet 1 - Scoring Matrix'!Y20), "", 'Worksheet 1 - Scoring Matrix'!Y20)</f>
        <v>3</v>
      </c>
      <c r="Z20" t="b">
        <f ca="1">AND( (ISBLANK(X19)=(Solution!V12 &lt;&gt; Z19)), (ISBLANK(Y19)=(Solution!W12 &lt;&gt; Z19)), (ISBLANK(X20)=(Solution!V13 &lt;&gt; Z19)), Solution!X14  )</f>
        <v>0</v>
      </c>
      <c r="AA20" s="93" t="s">
        <v>19</v>
      </c>
      <c r="AB20" s="94">
        <f>IF(ISBLANK('Worksheet 1 - Scoring Matrix'!AB20), "", 'Worksheet 1 - Scoring Matrix'!AB20)</f>
        <v>-3</v>
      </c>
      <c r="AC20" t="b">
        <f ca="1">AND( (ISBLANK(AA19)=(Solution!Y12 &lt;&gt; AC19)), (ISBLANK(AB19)=(Solution!Z12 &lt;&gt; AC19)), (ISBLANK(AA20)=(Solution!Y13 &lt;&gt; AC19)), Solution!AA14  )</f>
        <v>0</v>
      </c>
      <c r="AD20" s="93" t="s">
        <v>19</v>
      </c>
      <c r="AE20" s="94">
        <f>IF(ISBLANK('Worksheet 1 - Scoring Matrix'!AE20), "", 'Worksheet 1 - Scoring Matrix'!AE20)</f>
        <v>-9</v>
      </c>
      <c r="AF20" t="b">
        <f ca="1">AND( (ISBLANK(AD19)=(Solution!AB12 &lt;&gt; AF19)), (ISBLANK(AE19)=(Solution!AC12 &lt;&gt; AF19)), (ISBLANK(AD20)=(Solution!AB13 &lt;&gt; AF19)), Solution!AD14  )</f>
        <v>0</v>
      </c>
      <c r="AG20" s="93" t="s">
        <v>19</v>
      </c>
      <c r="AH20" s="94">
        <f>IF(ISBLANK('Worksheet 1 - Scoring Matrix'!AH20), "", 'Worksheet 1 - Scoring Matrix'!AH20)</f>
        <v>-15</v>
      </c>
      <c r="AI20" t="b">
        <f ca="1">AND( (ISBLANK(AG19)=(Solution!AE12 &lt;&gt; AI19)), (ISBLANK(AH19)=(Solution!AF12 &lt;&gt; AI19)), (ISBLANK(AG20)=(Solution!AE13 &lt;&gt; AI19)), Solution!AG14  )</f>
        <v>0</v>
      </c>
      <c r="AJ20"/>
    </row>
    <row r="21" spans="1:36" s="1" customFormat="1" ht="12" hidden="1" customHeight="1" thickBot="1">
      <c r="F21" s="108"/>
      <c r="G21" s="47"/>
      <c r="I21"/>
      <c r="J21"/>
      <c r="K21"/>
      <c r="L21"/>
      <c r="M21"/>
      <c r="N21"/>
      <c r="O21"/>
      <c r="P21"/>
      <c r="Q21"/>
      <c r="R21"/>
      <c r="S21"/>
      <c r="T21"/>
      <c r="U21"/>
      <c r="V21"/>
      <c r="W21"/>
      <c r="X21"/>
      <c r="Y21"/>
      <c r="Z21"/>
      <c r="AA21"/>
      <c r="AB21"/>
      <c r="AC21"/>
      <c r="AD21"/>
      <c r="AE21"/>
      <c r="AF21"/>
      <c r="AG21"/>
      <c r="AH21"/>
      <c r="AI21"/>
      <c r="AJ21"/>
    </row>
    <row r="22" spans="1:36" ht="12" customHeight="1" thickTop="1">
      <c r="A22"/>
      <c r="B22"/>
      <c r="C22"/>
      <c r="F22" s="108"/>
      <c r="G22" s="45" t="str">
        <f>'Worksheet 1 - Scoring Matrix'!G22</f>
        <v>C</v>
      </c>
      <c r="I22" s="91" t="s">
        <v>20</v>
      </c>
      <c r="J22" s="92" t="s">
        <v>21</v>
      </c>
      <c r="K22">
        <f xml:space="preserve"> MAX(Solution!G15,Solution!H15,Solution!G16)</f>
        <v>-24</v>
      </c>
      <c r="L22" s="91" t="s">
        <v>20</v>
      </c>
      <c r="M22" s="92" t="s">
        <v>21</v>
      </c>
      <c r="N22">
        <f xml:space="preserve"> MAX(Solution!J15,Solution!K15,Solution!J16)</f>
        <v>-20</v>
      </c>
      <c r="O22" s="91" t="s">
        <v>20</v>
      </c>
      <c r="P22" s="92" t="s">
        <v>21</v>
      </c>
      <c r="Q22">
        <f xml:space="preserve"> MAX(Solution!M15,Solution!N15,Solution!M16)</f>
        <v>-16</v>
      </c>
      <c r="R22" s="91" t="s">
        <v>20</v>
      </c>
      <c r="S22" s="92" t="s">
        <v>21</v>
      </c>
      <c r="T22">
        <f xml:space="preserve"> MAX(Solution!P15,Solution!Q15,Solution!P16)</f>
        <v>-5</v>
      </c>
      <c r="U22" s="91" t="s">
        <v>20</v>
      </c>
      <c r="V22" s="92" t="s">
        <v>21</v>
      </c>
      <c r="W22">
        <f xml:space="preserve"> MAX(Solution!S15,Solution!T15,Solution!S16)</f>
        <v>-1</v>
      </c>
      <c r="X22" s="91" t="s">
        <v>20</v>
      </c>
      <c r="Y22" s="92"/>
      <c r="Z22">
        <f xml:space="preserve"> MAX(Solution!V15,Solution!W15,Solution!V16)</f>
        <v>7</v>
      </c>
      <c r="AA22" s="91" t="s">
        <v>20</v>
      </c>
      <c r="AB22" s="92" t="s">
        <v>21</v>
      </c>
      <c r="AC22">
        <f xml:space="preserve"> MAX(Solution!Y15,Solution!Z15,Solution!Y16)</f>
        <v>1</v>
      </c>
      <c r="AD22" s="91" t="s">
        <v>20</v>
      </c>
      <c r="AE22" s="92" t="s">
        <v>21</v>
      </c>
      <c r="AF22">
        <f xml:space="preserve"> MAX(Solution!AB15,Solution!AC15,Solution!AB16)</f>
        <v>-5</v>
      </c>
      <c r="AG22" s="91" t="s">
        <v>20</v>
      </c>
      <c r="AH22" s="92" t="s">
        <v>21</v>
      </c>
      <c r="AI22">
        <f xml:space="preserve"> MAX(Solution!AE15,Solution!AF15,Solution!AE16)</f>
        <v>-11</v>
      </c>
    </row>
    <row r="23" spans="1:36" s="1" customFormat="1" ht="12" customHeight="1" thickBot="1">
      <c r="F23" s="108"/>
      <c r="G23" s="46"/>
      <c r="I23" s="93" t="s">
        <v>19</v>
      </c>
      <c r="J23" s="94">
        <f>IF(ISBLANK('Worksheet 1 - Scoring Matrix'!J23), "", 'Worksheet 1 - Scoring Matrix'!J23)</f>
        <v>-24</v>
      </c>
      <c r="K23" t="b">
        <f ca="1">AND( (ISBLANK(I22)=(Solution!G15 &lt;&gt; K22)), (ISBLANK(J22)=(Solution!H15 &lt;&gt; K22)), (ISBLANK(I23)=(Solution!G16 &lt;&gt; K22)), Solution!I17  )</f>
        <v>0</v>
      </c>
      <c r="L23" s="93" t="s">
        <v>19</v>
      </c>
      <c r="M23" s="94">
        <f>IF(ISBLANK('Worksheet 1 - Scoring Matrix'!M23), "", 'Worksheet 1 - Scoring Matrix'!M23)</f>
        <v>-20</v>
      </c>
      <c r="N23" t="b">
        <f ca="1">AND( (ISBLANK(L22)=(Solution!J15 &lt;&gt; N22)), (ISBLANK(M22)=(Solution!K15 &lt;&gt; N22)), (ISBLANK(L23)=(Solution!J16 &lt;&gt; N22)), Solution!L17  )</f>
        <v>0</v>
      </c>
      <c r="O23" s="93" t="s">
        <v>19</v>
      </c>
      <c r="P23" s="94">
        <f>IF(ISBLANK('Worksheet 1 - Scoring Matrix'!P23), "", 'Worksheet 1 - Scoring Matrix'!P23)</f>
        <v>-16</v>
      </c>
      <c r="Q23" t="b">
        <f ca="1">AND( (ISBLANK(O22)=(Solution!M15 &lt;&gt; Q22)), (ISBLANK(P22)=(Solution!N15 &lt;&gt; Q22)), (ISBLANK(O23)=(Solution!M16 &lt;&gt; Q22)), Solution!O17  )</f>
        <v>0</v>
      </c>
      <c r="R23" s="93" t="s">
        <v>19</v>
      </c>
      <c r="S23" s="94">
        <f>IF(ISBLANK('Worksheet 1 - Scoring Matrix'!S23), "", 'Worksheet 1 - Scoring Matrix'!S23)</f>
        <v>-5</v>
      </c>
      <c r="T23" t="b">
        <f ca="1">AND( (ISBLANK(R22)=(Solution!P15 &lt;&gt; T22)), (ISBLANK(S22)=(Solution!Q15 &lt;&gt; T22)), (ISBLANK(R23)=(Solution!P16 &lt;&gt; T22)), Solution!R17  )</f>
        <v>0</v>
      </c>
      <c r="U23" s="93" t="s">
        <v>19</v>
      </c>
      <c r="V23" s="94">
        <f>IF(ISBLANK('Worksheet 1 - Scoring Matrix'!V23), "", 'Worksheet 1 - Scoring Matrix'!V23)</f>
        <v>-1</v>
      </c>
      <c r="W23" t="b">
        <f ca="1">AND( (ISBLANK(U22)=(Solution!S15 &lt;&gt; W22)), (ISBLANK(V22)=(Solution!T15 &lt;&gt; W22)), (ISBLANK(U23)=(Solution!S16 &lt;&gt; W22)), Solution!U17  )</f>
        <v>0</v>
      </c>
      <c r="X23" s="93"/>
      <c r="Y23" s="94">
        <f>IF(ISBLANK('Worksheet 1 - Scoring Matrix'!Y23), "", 'Worksheet 1 - Scoring Matrix'!Y23)</f>
        <v>7</v>
      </c>
      <c r="Z23" t="b">
        <f ca="1">AND( (ISBLANK(X22)=(Solution!V15 &lt;&gt; Z22)), (ISBLANK(Y22)=(Solution!W15 &lt;&gt; Z22)), (ISBLANK(X23)=(Solution!V16 &lt;&gt; Z22)), Solution!X17  )</f>
        <v>1</v>
      </c>
      <c r="AA23" s="93" t="s">
        <v>19</v>
      </c>
      <c r="AB23" s="94">
        <f>IF(ISBLANK('Worksheet 1 - Scoring Matrix'!AB23), "", 'Worksheet 1 - Scoring Matrix'!AB23)</f>
        <v>1</v>
      </c>
      <c r="AC23" t="b">
        <f ca="1">AND( (ISBLANK(AA22)=(Solution!Y15 &lt;&gt; AC22)), (ISBLANK(AB22)=(Solution!Z15 &lt;&gt; AC22)), (ISBLANK(AA23)=(Solution!Y16 &lt;&gt; AC22)), Solution!AA17  )</f>
        <v>0</v>
      </c>
      <c r="AD23" s="93" t="s">
        <v>19</v>
      </c>
      <c r="AE23" s="94">
        <f>IF(ISBLANK('Worksheet 1 - Scoring Matrix'!AE23), "", 'Worksheet 1 - Scoring Matrix'!AE23)</f>
        <v>-5</v>
      </c>
      <c r="AF23" t="b">
        <f ca="1">AND( (ISBLANK(AD22)=(Solution!AB15 &lt;&gt; AF22)), (ISBLANK(AE22)=(Solution!AC15 &lt;&gt; AF22)), (ISBLANK(AD23)=(Solution!AB16 &lt;&gt; AF22)), Solution!AD17  )</f>
        <v>0</v>
      </c>
      <c r="AG23" s="93" t="s">
        <v>19</v>
      </c>
      <c r="AH23" s="94">
        <f>IF(ISBLANK('Worksheet 1 - Scoring Matrix'!AH23), "", 'Worksheet 1 - Scoring Matrix'!AH23)</f>
        <v>-11</v>
      </c>
      <c r="AI23" t="b">
        <f ca="1">AND( (ISBLANK(AG22)=(Solution!AE15 &lt;&gt; AI22)), (ISBLANK(AH22)=(Solution!AF15 &lt;&gt; AI22)), (ISBLANK(AG23)=(Solution!AE16 &lt;&gt; AI22)), Solution!AG17  )</f>
        <v>0</v>
      </c>
      <c r="AJ23"/>
    </row>
    <row r="24" spans="1:36" s="1" customFormat="1" ht="12" hidden="1" customHeight="1" thickBot="1">
      <c r="F24" s="109"/>
      <c r="G24" s="47"/>
      <c r="I24"/>
      <c r="J24"/>
      <c r="K24"/>
      <c r="L24"/>
      <c r="M24"/>
      <c r="N24"/>
      <c r="O24"/>
      <c r="P24"/>
      <c r="Q24"/>
      <c r="R24"/>
      <c r="S24"/>
      <c r="T24"/>
      <c r="U24"/>
      <c r="V24"/>
      <c r="W24"/>
      <c r="X24"/>
      <c r="Y24"/>
      <c r="Z24"/>
      <c r="AA24"/>
      <c r="AB24"/>
      <c r="AC24"/>
      <c r="AD24"/>
      <c r="AE24"/>
      <c r="AF24"/>
      <c r="AG24"/>
      <c r="AH24"/>
      <c r="AI24"/>
    </row>
    <row r="25" spans="1:36" s="1" customFormat="1" ht="12" customHeight="1" thickTop="1">
      <c r="F25" s="109"/>
      <c r="G25" s="45" t="str">
        <f>'Worksheet 1 - Scoring Matrix'!G25</f>
        <v>A</v>
      </c>
      <c r="I25" s="91" t="s">
        <v>20</v>
      </c>
      <c r="J25" s="92" t="s">
        <v>21</v>
      </c>
      <c r="K25">
        <f xml:space="preserve"> MAX(Solution!G18,Solution!H18,Solution!G19)</f>
        <v>-30</v>
      </c>
      <c r="L25" s="91" t="s">
        <v>20</v>
      </c>
      <c r="M25" s="92" t="s">
        <v>21</v>
      </c>
      <c r="N25">
        <f xml:space="preserve"> MAX(Solution!J18,Solution!K18,Solution!J19)</f>
        <v>-26</v>
      </c>
      <c r="O25" s="91" t="s">
        <v>20</v>
      </c>
      <c r="P25" s="92" t="s">
        <v>21</v>
      </c>
      <c r="Q25">
        <f xml:space="preserve"> MAX(Solution!M18,Solution!N18,Solution!M19)</f>
        <v>-15</v>
      </c>
      <c r="R25" s="91" t="s">
        <v>20</v>
      </c>
      <c r="S25" s="92" t="s">
        <v>21</v>
      </c>
      <c r="T25">
        <f xml:space="preserve"> MAX(Solution!P18,Solution!Q18,Solution!P19)</f>
        <v>-11</v>
      </c>
      <c r="U25" s="91" t="s">
        <v>20</v>
      </c>
      <c r="V25" s="92" t="s">
        <v>21</v>
      </c>
      <c r="W25">
        <f xml:space="preserve"> MAX(Solution!S18,Solution!T18,Solution!S19)</f>
        <v>-7</v>
      </c>
      <c r="X25" s="91" t="s">
        <v>20</v>
      </c>
      <c r="Y25" s="92" t="s">
        <v>21</v>
      </c>
      <c r="Z25">
        <f xml:space="preserve"> MAX(Solution!V18,Solution!W18,Solution!V19)</f>
        <v>1</v>
      </c>
      <c r="AA25" s="91" t="s">
        <v>20</v>
      </c>
      <c r="AB25" s="92"/>
      <c r="AC25">
        <f xml:space="preserve"> MAX(Solution!Y18,Solution!Z18,Solution!Y19)</f>
        <v>12</v>
      </c>
      <c r="AD25" s="91"/>
      <c r="AE25" s="92"/>
      <c r="AF25">
        <f xml:space="preserve"> MAX(Solution!AB18,Solution!AC18,Solution!AB19)</f>
        <v>6</v>
      </c>
      <c r="AG25" s="91" t="s">
        <v>20</v>
      </c>
      <c r="AH25" s="92" t="s">
        <v>21</v>
      </c>
      <c r="AI25">
        <f xml:space="preserve"> MAX(Solution!AE18,Solution!AF18,Solution!AE19)</f>
        <v>0</v>
      </c>
    </row>
    <row r="26" spans="1:36" s="1" customFormat="1" ht="12" customHeight="1" thickBot="1">
      <c r="A26" s="124" t="s">
        <v>35</v>
      </c>
      <c r="B26" s="125"/>
      <c r="C26" s="125"/>
      <c r="D26" s="126"/>
      <c r="E26" s="75"/>
      <c r="F26" s="109"/>
      <c r="G26" s="46"/>
      <c r="I26" s="93" t="s">
        <v>19</v>
      </c>
      <c r="J26" s="94">
        <f>IF(ISBLANK('Worksheet 1 - Scoring Matrix'!J26), "", 'Worksheet 1 - Scoring Matrix'!J26)</f>
        <v>-30</v>
      </c>
      <c r="K26" t="b">
        <f ca="1">AND( (ISBLANK(I25)=(Solution!G18 &lt;&gt; K25)), (ISBLANK(J25)=(Solution!H18 &lt;&gt; K25)), (ISBLANK(I26)=(Solution!G19 &lt;&gt; K25)), Solution!I20  )</f>
        <v>0</v>
      </c>
      <c r="L26" s="93" t="s">
        <v>19</v>
      </c>
      <c r="M26" s="94">
        <f>IF(ISBLANK('Worksheet 1 - Scoring Matrix'!M26), "", 'Worksheet 1 - Scoring Matrix'!M26)</f>
        <v>-26</v>
      </c>
      <c r="N26" t="b">
        <f ca="1">AND( (ISBLANK(L25)=(Solution!J18 &lt;&gt; N25)), (ISBLANK(M25)=(Solution!K18 &lt;&gt; N25)), (ISBLANK(L26)=(Solution!J19 &lt;&gt; N25)), Solution!L20  )</f>
        <v>0</v>
      </c>
      <c r="O26" s="93" t="s">
        <v>19</v>
      </c>
      <c r="P26" s="94">
        <f>IF(ISBLANK('Worksheet 1 - Scoring Matrix'!P26), "", 'Worksheet 1 - Scoring Matrix'!P26)</f>
        <v>-15</v>
      </c>
      <c r="Q26" t="b">
        <f ca="1">AND( (ISBLANK(O25)=(Solution!M18 &lt;&gt; Q25)), (ISBLANK(P25)=(Solution!N18 &lt;&gt; Q25)), (ISBLANK(O26)=(Solution!M19 &lt;&gt; Q25)), Solution!O20  )</f>
        <v>0</v>
      </c>
      <c r="R26" s="93" t="s">
        <v>19</v>
      </c>
      <c r="S26" s="94">
        <f>IF(ISBLANK('Worksheet 1 - Scoring Matrix'!S26), "", 'Worksheet 1 - Scoring Matrix'!S26)</f>
        <v>-11</v>
      </c>
      <c r="T26" t="b">
        <f ca="1">AND( (ISBLANK(R25)=(Solution!P18 &lt;&gt; T25)), (ISBLANK(S25)=(Solution!Q18 &lt;&gt; T25)), (ISBLANK(R26)=(Solution!P19 &lt;&gt; T25)), Solution!R20  )</f>
        <v>0</v>
      </c>
      <c r="U26" s="93" t="s">
        <v>19</v>
      </c>
      <c r="V26" s="94">
        <f>IF(ISBLANK('Worksheet 1 - Scoring Matrix'!V26), "", 'Worksheet 1 - Scoring Matrix'!V26)</f>
        <v>-7</v>
      </c>
      <c r="W26" t="b">
        <f ca="1">AND( (ISBLANK(U25)=(Solution!S18 &lt;&gt; W25)), (ISBLANK(V25)=(Solution!T18 &lt;&gt; W25)), (ISBLANK(U26)=(Solution!S19 &lt;&gt; W25)), Solution!U20  )</f>
        <v>0</v>
      </c>
      <c r="X26" s="93" t="s">
        <v>19</v>
      </c>
      <c r="Y26" s="94">
        <f>IF(ISBLANK('Worksheet 1 - Scoring Matrix'!Y26), "", 'Worksheet 1 - Scoring Matrix'!Y26)</f>
        <v>1</v>
      </c>
      <c r="Z26" t="b">
        <f ca="1">AND( (ISBLANK(X25)=(Solution!V18 &lt;&gt; Z25)), (ISBLANK(Y25)=(Solution!W18 &lt;&gt; Z25)), (ISBLANK(X26)=(Solution!V19 &lt;&gt; Z25)), Solution!X20  )</f>
        <v>0</v>
      </c>
      <c r="AA26" s="93"/>
      <c r="AB26" s="94">
        <f>IF(ISBLANK('Worksheet 1 - Scoring Matrix'!AB26), "", 'Worksheet 1 - Scoring Matrix'!AB26)</f>
        <v>12</v>
      </c>
      <c r="AC26" t="b">
        <f ca="1">AND( (ISBLANK(AA25)=(Solution!Y18 &lt;&gt; AC25)), (ISBLANK(AB25)=(Solution!Z18 &lt;&gt; AC25)), (ISBLANK(AA26)=(Solution!Y19 &lt;&gt; AC25)), Solution!AA20  )</f>
        <v>1</v>
      </c>
      <c r="AD26" s="93" t="s">
        <v>19</v>
      </c>
      <c r="AE26" s="94">
        <f>IF(ISBLANK('Worksheet 1 - Scoring Matrix'!AE26), "", 'Worksheet 1 - Scoring Matrix'!AE26)</f>
        <v>6</v>
      </c>
      <c r="AF26" t="b">
        <f ca="1">AND( (ISBLANK(AD25)=(Solution!AB18 &lt;&gt; AF25)), (ISBLANK(AE25)=(Solution!AC18 &lt;&gt; AF25)), (ISBLANK(AD26)=(Solution!AB19 &lt;&gt; AF25)), Solution!AD20  )</f>
        <v>1</v>
      </c>
      <c r="AG26" s="93" t="s">
        <v>19</v>
      </c>
      <c r="AH26" s="94">
        <f>IF(ISBLANK('Worksheet 1 - Scoring Matrix'!AH26), "", 'Worksheet 1 - Scoring Matrix'!AH26)</f>
        <v>0</v>
      </c>
      <c r="AI26" t="b">
        <f ca="1">AND( (ISBLANK(AG25)=(Solution!AE18 &lt;&gt; AI25)), (ISBLANK(AH25)=(Solution!AF18 &lt;&gt; AI25)), (ISBLANK(AG26)=(Solution!AE19 &lt;&gt; AI25)), Solution!AG20  )</f>
        <v>0</v>
      </c>
    </row>
    <row r="27" spans="1:36" s="1" customFormat="1" ht="12" hidden="1" customHeight="1" thickBot="1">
      <c r="E27" s="63"/>
      <c r="F27" s="109"/>
      <c r="G27" s="47"/>
      <c r="I27"/>
      <c r="J27"/>
      <c r="K27"/>
      <c r="L27"/>
      <c r="M27"/>
      <c r="N27"/>
      <c r="O27"/>
      <c r="P27"/>
      <c r="Q27"/>
      <c r="R27"/>
      <c r="S27"/>
      <c r="T27"/>
      <c r="U27"/>
      <c r="V27"/>
      <c r="W27"/>
      <c r="X27"/>
      <c r="Y27"/>
      <c r="Z27"/>
      <c r="AA27"/>
      <c r="AB27"/>
      <c r="AC27"/>
      <c r="AD27"/>
      <c r="AE27"/>
      <c r="AF27"/>
      <c r="AG27"/>
      <c r="AH27"/>
      <c r="AI27"/>
    </row>
    <row r="28" spans="1:36" s="1" customFormat="1" ht="12" customHeight="1" thickTop="1" thickBot="1">
      <c r="A28" s="12" t="str">
        <f>A9</f>
        <v>Subject sequence:</v>
      </c>
      <c r="B28" s="2"/>
      <c r="C28" s="127" t="s">
        <v>55</v>
      </c>
      <c r="D28" s="128"/>
      <c r="E28" s="76"/>
      <c r="F28" s="109"/>
      <c r="G28" s="45" t="str">
        <f>'Worksheet 1 - Scoring Matrix'!G28</f>
        <v>T</v>
      </c>
      <c r="I28" s="91" t="s">
        <v>20</v>
      </c>
      <c r="J28" s="92" t="s">
        <v>21</v>
      </c>
      <c r="K28">
        <f xml:space="preserve"> MAX(Solution!G21,Solution!H21,Solution!G22)</f>
        <v>-36</v>
      </c>
      <c r="L28" s="91" t="s">
        <v>20</v>
      </c>
      <c r="M28" s="92" t="s">
        <v>21</v>
      </c>
      <c r="N28">
        <f xml:space="preserve"> MAX(Solution!J21,Solution!K21,Solution!J22)</f>
        <v>-32</v>
      </c>
      <c r="O28" s="91" t="s">
        <v>20</v>
      </c>
      <c r="P28" s="92" t="s">
        <v>21</v>
      </c>
      <c r="Q28">
        <f xml:space="preserve"> MAX(Solution!M21,Solution!N21,Solution!M22)</f>
        <v>-21</v>
      </c>
      <c r="R28" s="91" t="s">
        <v>20</v>
      </c>
      <c r="S28" s="92" t="s">
        <v>21</v>
      </c>
      <c r="T28">
        <f xml:space="preserve"> MAX(Solution!P21,Solution!Q21,Solution!P22)</f>
        <v>-17</v>
      </c>
      <c r="U28" s="91" t="s">
        <v>20</v>
      </c>
      <c r="V28" s="92" t="s">
        <v>21</v>
      </c>
      <c r="W28">
        <f xml:space="preserve"> MAX(Solution!S21,Solution!T21,Solution!S22)</f>
        <v>-13</v>
      </c>
      <c r="X28" s="91" t="s">
        <v>20</v>
      </c>
      <c r="Y28" s="92" t="s">
        <v>21</v>
      </c>
      <c r="Z28">
        <f xml:space="preserve"> MAX(Solution!V21,Solution!W21,Solution!V22)</f>
        <v>-5</v>
      </c>
      <c r="AA28" s="91" t="s">
        <v>20</v>
      </c>
      <c r="AB28" s="92" t="s">
        <v>21</v>
      </c>
      <c r="AC28">
        <f xml:space="preserve"> MAX(Solution!Y21,Solution!Z21,Solution!Y22)</f>
        <v>6</v>
      </c>
      <c r="AD28" s="91" t="s">
        <v>20</v>
      </c>
      <c r="AE28" s="92" t="s">
        <v>21</v>
      </c>
      <c r="AF28">
        <f xml:space="preserve"> MAX(Solution!AB21,Solution!AC21,Solution!AB22)</f>
        <v>10</v>
      </c>
      <c r="AG28" s="91" t="s">
        <v>20</v>
      </c>
      <c r="AH28" s="92"/>
      <c r="AI28">
        <f xml:space="preserve"> MAX(Solution!AE21,Solution!AF21,Solution!AE22)</f>
        <v>11</v>
      </c>
    </row>
    <row r="29" spans="1:36" s="1" customFormat="1" ht="12" customHeight="1" thickTop="1" thickBot="1">
      <c r="A29" s="14" t="str">
        <f>A10</f>
        <v>Query sequence:</v>
      </c>
      <c r="B29" s="15"/>
      <c r="C29" s="127" t="s">
        <v>56</v>
      </c>
      <c r="D29" s="128"/>
      <c r="E29" s="76"/>
      <c r="F29" s="109"/>
      <c r="G29" s="47"/>
      <c r="I29" s="93" t="s">
        <v>19</v>
      </c>
      <c r="J29" s="94">
        <f>IF(ISBLANK('Worksheet 1 - Scoring Matrix'!J29), "", 'Worksheet 1 - Scoring Matrix'!J29)</f>
        <v>-36</v>
      </c>
      <c r="K29" t="b">
        <f ca="1">AND( (ISBLANK(I28)=(Solution!G21 &lt;&gt; K28)), (ISBLANK(J28)=(Solution!H21 &lt;&gt; K28)), (ISBLANK(I29)=(Solution!G22 &lt;&gt; K28)), Solution!I23  )</f>
        <v>0</v>
      </c>
      <c r="L29" s="93" t="s">
        <v>19</v>
      </c>
      <c r="M29" s="94">
        <f>IF(ISBLANK('Worksheet 1 - Scoring Matrix'!M29), "", 'Worksheet 1 - Scoring Matrix'!M29)</f>
        <v>-32</v>
      </c>
      <c r="N29" t="b">
        <f ca="1">AND( (ISBLANK(L28)=(Solution!J21 &lt;&gt; N28)), (ISBLANK(M28)=(Solution!K21 &lt;&gt; N28)), (ISBLANK(L29)=(Solution!J22 &lt;&gt; N28)), Solution!L23  )</f>
        <v>0</v>
      </c>
      <c r="O29" s="93" t="s">
        <v>19</v>
      </c>
      <c r="P29" s="94">
        <f>IF(ISBLANK('Worksheet 1 - Scoring Matrix'!P29), "", 'Worksheet 1 - Scoring Matrix'!P29)</f>
        <v>-21</v>
      </c>
      <c r="Q29" t="b">
        <f ca="1">AND( (ISBLANK(O28)=(Solution!M21 &lt;&gt; Q28)), (ISBLANK(P28)=(Solution!N21 &lt;&gt; Q28)), (ISBLANK(O29)=(Solution!M22 &lt;&gt; Q28)), Solution!O23  )</f>
        <v>0</v>
      </c>
      <c r="R29" s="93" t="s">
        <v>19</v>
      </c>
      <c r="S29" s="94">
        <f>IF(ISBLANK('Worksheet 1 - Scoring Matrix'!S29), "", 'Worksheet 1 - Scoring Matrix'!S29)</f>
        <v>-17</v>
      </c>
      <c r="T29" t="b">
        <f ca="1">AND( (ISBLANK(R28)=(Solution!P21 &lt;&gt; T28)), (ISBLANK(S28)=(Solution!Q21 &lt;&gt; T28)), (ISBLANK(R29)=(Solution!P22 &lt;&gt; T28)), Solution!R23  )</f>
        <v>0</v>
      </c>
      <c r="U29" s="93" t="s">
        <v>19</v>
      </c>
      <c r="V29" s="94">
        <f>IF(ISBLANK('Worksheet 1 - Scoring Matrix'!V29), "", 'Worksheet 1 - Scoring Matrix'!V29)</f>
        <v>-13</v>
      </c>
      <c r="W29" t="b">
        <f ca="1">AND( (ISBLANK(U28)=(Solution!S21 &lt;&gt; W28)), (ISBLANK(V28)=(Solution!T21 &lt;&gt; W28)), (ISBLANK(U29)=(Solution!S22 &lt;&gt; W28)), Solution!U23  )</f>
        <v>0</v>
      </c>
      <c r="X29" s="93" t="s">
        <v>19</v>
      </c>
      <c r="Y29" s="94">
        <f>IF(ISBLANK('Worksheet 1 - Scoring Matrix'!Y29), "", 'Worksheet 1 - Scoring Matrix'!Y29)</f>
        <v>-5</v>
      </c>
      <c r="Z29" t="b">
        <f ca="1">AND( (ISBLANK(X28)=(Solution!V21 &lt;&gt; Z28)), (ISBLANK(Y28)=(Solution!W21 &lt;&gt; Z28)), (ISBLANK(X29)=(Solution!V22 &lt;&gt; Z28)), Solution!X23  )</f>
        <v>0</v>
      </c>
      <c r="AA29" s="93" t="s">
        <v>19</v>
      </c>
      <c r="AB29" s="94">
        <f>IF(ISBLANK('Worksheet 1 - Scoring Matrix'!AB29), "", 'Worksheet 1 - Scoring Matrix'!AB29)</f>
        <v>6</v>
      </c>
      <c r="AC29" t="b">
        <f ca="1">AND( (ISBLANK(AA28)=(Solution!Y21 &lt;&gt; AC28)), (ISBLANK(AB28)=(Solution!Z21 &lt;&gt; AC28)), (ISBLANK(AA29)=(Solution!Y22 &lt;&gt; AC28)), Solution!AA23  )</f>
        <v>0</v>
      </c>
      <c r="AD29" s="93" t="s">
        <v>19</v>
      </c>
      <c r="AE29" s="94">
        <f>IF(ISBLANK('Worksheet 1 - Scoring Matrix'!AE29), "", 'Worksheet 1 - Scoring Matrix'!AE29)</f>
        <v>10</v>
      </c>
      <c r="AF29" t="b">
        <f ca="1">AND( (ISBLANK(AD28)=(Solution!AB21 &lt;&gt; AF28)), (ISBLANK(AE28)=(Solution!AC21 &lt;&gt; AF28)), (ISBLANK(AD29)=(Solution!AB22 &lt;&gt; AF28)), Solution!AD23  )</f>
        <v>0</v>
      </c>
      <c r="AG29" s="93"/>
      <c r="AH29" s="94">
        <f>IF(ISBLANK('Worksheet 1 - Scoring Matrix'!AH29), "", 'Worksheet 1 - Scoring Matrix'!AH29)</f>
        <v>11</v>
      </c>
      <c r="AI29" t="b">
        <f ca="1">AND( (ISBLANK(AG28)=(Solution!AE21 &lt;&gt; AI28)), (ISBLANK(AH28)=(Solution!AF21 &lt;&gt; AI28)), (ISBLANK(AG29)=(Solution!AE22 &lt;&gt; AI28)), Solution!AG23  )</f>
        <v>1</v>
      </c>
    </row>
    <row r="30" spans="1:36" s="1" customFormat="1" ht="12" hidden="1" customHeight="1" thickBot="1">
      <c r="F30"/>
      <c r="G30" s="47"/>
      <c r="H30"/>
      <c r="I30"/>
      <c r="J30"/>
      <c r="K30"/>
      <c r="L30"/>
      <c r="M30"/>
      <c r="N30"/>
      <c r="O30"/>
      <c r="P30"/>
      <c r="Q30"/>
      <c r="R30"/>
      <c r="S30"/>
      <c r="T30"/>
      <c r="U30"/>
      <c r="V30"/>
      <c r="W30"/>
      <c r="X30"/>
      <c r="Y30"/>
      <c r="Z30"/>
      <c r="AA30"/>
      <c r="AB30"/>
      <c r="AC30"/>
      <c r="AD30"/>
      <c r="AE30"/>
      <c r="AF30"/>
      <c r="AG30"/>
      <c r="AH30"/>
      <c r="AI30"/>
    </row>
    <row r="31" spans="1:36" s="1" customFormat="1" ht="12" customHeight="1" thickTop="1">
      <c r="A31" s="118" t="str">
        <f ca="1">IF(NumberOfOptimalAlignments&gt;1, "Note: &gt;1 Optimal Alignment", "Unique Optimal Alignment")</f>
        <v>Unique Optimal Alignment</v>
      </c>
      <c r="B31" s="119"/>
      <c r="C31" s="119"/>
      <c r="D31" s="120"/>
      <c r="F31"/>
      <c r="G31"/>
      <c r="H31"/>
      <c r="I31"/>
      <c r="J31"/>
      <c r="K31"/>
      <c r="L31"/>
      <c r="M31"/>
      <c r="N31"/>
      <c r="O31"/>
      <c r="P31"/>
      <c r="Q31"/>
      <c r="R31"/>
      <c r="S31"/>
      <c r="T31"/>
      <c r="U31"/>
      <c r="V31"/>
      <c r="W31"/>
      <c r="X31"/>
      <c r="Y31"/>
      <c r="Z31"/>
      <c r="AA31"/>
      <c r="AB31"/>
      <c r="AC31"/>
      <c r="AD31"/>
      <c r="AE31"/>
      <c r="AF31"/>
      <c r="AI31"/>
    </row>
    <row r="32" spans="1:36" s="1" customFormat="1" ht="12" customHeight="1">
      <c r="A32" s="121"/>
      <c r="B32" s="122"/>
      <c r="C32" s="122"/>
      <c r="D32" s="123"/>
      <c r="F32"/>
      <c r="G32" s="55" t="s">
        <v>40</v>
      </c>
      <c r="H32"/>
      <c r="I32"/>
      <c r="J32"/>
      <c r="K32"/>
      <c r="L32"/>
      <c r="M32"/>
      <c r="N32"/>
      <c r="O32"/>
      <c r="P32"/>
      <c r="Q32"/>
      <c r="R32"/>
      <c r="S32"/>
      <c r="T32"/>
      <c r="U32"/>
      <c r="V32"/>
      <c r="W32"/>
      <c r="X32"/>
      <c r="Y32"/>
      <c r="Z32"/>
      <c r="AA32"/>
      <c r="AB32"/>
      <c r="AC32"/>
      <c r="AD32"/>
      <c r="AE32"/>
      <c r="AF32"/>
      <c r="AI32"/>
    </row>
    <row r="33" spans="6:35" s="1" customFormat="1" ht="12" customHeight="1">
      <c r="F33"/>
      <c r="G33" s="71" t="s">
        <v>20</v>
      </c>
      <c r="H33"/>
      <c r="I33" s="65" t="s">
        <v>42</v>
      </c>
      <c r="J33"/>
      <c r="K33"/>
      <c r="L33"/>
      <c r="M33"/>
      <c r="N33"/>
      <c r="O33"/>
      <c r="P33"/>
      <c r="Q33"/>
      <c r="R33"/>
      <c r="S33"/>
      <c r="T33"/>
      <c r="U33"/>
      <c r="V33"/>
      <c r="W33"/>
      <c r="X33"/>
      <c r="Y33"/>
      <c r="Z33"/>
      <c r="AA33"/>
      <c r="AB33"/>
      <c r="AC33"/>
      <c r="AD33"/>
      <c r="AE33"/>
      <c r="AF33"/>
      <c r="AI33"/>
    </row>
    <row r="34" spans="6:35" s="1" customFormat="1" ht="12" customHeight="1">
      <c r="F34"/>
      <c r="G34" s="71" t="s">
        <v>20</v>
      </c>
      <c r="H34"/>
      <c r="I34" s="65" t="s">
        <v>43</v>
      </c>
      <c r="J34"/>
      <c r="K34"/>
      <c r="L34"/>
      <c r="M34"/>
      <c r="N34"/>
      <c r="O34"/>
      <c r="P34"/>
      <c r="Q34"/>
      <c r="R34"/>
      <c r="S34"/>
      <c r="T34"/>
      <c r="U34"/>
      <c r="V34"/>
      <c r="W34"/>
      <c r="X34"/>
      <c r="Y34"/>
      <c r="Z34"/>
      <c r="AA34"/>
      <c r="AB34"/>
      <c r="AC34"/>
      <c r="AD34"/>
      <c r="AE34"/>
      <c r="AF34"/>
      <c r="AI34"/>
    </row>
    <row r="35" spans="6:35" s="1" customFormat="1" ht="12" customHeight="1">
      <c r="G35" s="71" t="s">
        <v>41</v>
      </c>
      <c r="H35"/>
      <c r="I35" s="64" t="str">
        <f>"Gap in "&amp;LOWER(LEFT(A28, LEN(A28)-1) )</f>
        <v>Gap in subject sequence</v>
      </c>
      <c r="U35"/>
      <c r="V35"/>
      <c r="W35"/>
      <c r="X35"/>
      <c r="Y35"/>
      <c r="Z35"/>
      <c r="AA35"/>
      <c r="AB35"/>
      <c r="AC35"/>
      <c r="AD35"/>
      <c r="AE35"/>
      <c r="AF35"/>
      <c r="AI35"/>
    </row>
    <row r="36" spans="6:35" ht="12" customHeight="1">
      <c r="G36" s="71" t="s">
        <v>19</v>
      </c>
      <c r="I36" s="64" t="str">
        <f>"Gap in "&amp;LOWER(LEFT(A29, LEN(A29)-1) )</f>
        <v>Gap in query sequence</v>
      </c>
    </row>
  </sheetData>
  <mergeCells count="18">
    <mergeCell ref="A9:B9"/>
    <mergeCell ref="A10:B10"/>
    <mergeCell ref="C9:D9"/>
    <mergeCell ref="C10:D10"/>
    <mergeCell ref="L7:AH7"/>
    <mergeCell ref="AG9:AI9"/>
    <mergeCell ref="AD9:AF9"/>
    <mergeCell ref="L9:N9"/>
    <mergeCell ref="O9:Q9"/>
    <mergeCell ref="R9:T9"/>
    <mergeCell ref="U9:W9"/>
    <mergeCell ref="X9:Z9"/>
    <mergeCell ref="AA9:AC9"/>
    <mergeCell ref="A31:D32"/>
    <mergeCell ref="F13:F29"/>
    <mergeCell ref="A26:D26"/>
    <mergeCell ref="C28:D28"/>
    <mergeCell ref="C29:D29"/>
  </mergeCells>
  <conditionalFormatting sqref="A19:C19 A16:C17">
    <cfRule type="expression" dxfId="741" priority="5079">
      <formula>AlignmentType=3</formula>
    </cfRule>
    <cfRule type="expression" dxfId="740" priority="5080">
      <formula>AlignmentType=2</formula>
    </cfRule>
    <cfRule type="expression" dxfId="739" priority="5081">
      <formula>AlignmentType=1</formula>
    </cfRule>
  </conditionalFormatting>
  <conditionalFormatting sqref="A28:B29 A26">
    <cfRule type="expression" dxfId="738" priority="4763">
      <formula>AlignmentType=1</formula>
    </cfRule>
    <cfRule type="expression" dxfId="737" priority="4764">
      <formula>AlignmentType=2</formula>
    </cfRule>
    <cfRule type="expression" dxfId="736" priority="4765">
      <formula>AlignmentType=3</formula>
    </cfRule>
  </conditionalFormatting>
  <conditionalFormatting sqref="C28">
    <cfRule type="expression" dxfId="735" priority="4758">
      <formula>AlignmentType=1</formula>
    </cfRule>
    <cfRule type="expression" dxfId="734" priority="4759">
      <formula>AlignmentType=2</formula>
    </cfRule>
    <cfRule type="expression" dxfId="733" priority="5508">
      <formula>AlignmentType=3</formula>
    </cfRule>
  </conditionalFormatting>
  <conditionalFormatting sqref="C29">
    <cfRule type="expression" dxfId="732" priority="4754">
      <formula>AlignmentType=1</formula>
    </cfRule>
    <cfRule type="expression" dxfId="731" priority="4755">
      <formula>AlignmentType=2</formula>
    </cfRule>
    <cfRule type="expression" dxfId="730" priority="4757">
      <formula>AlignmentType=3</formula>
    </cfRule>
  </conditionalFormatting>
  <conditionalFormatting sqref="G13:G29">
    <cfRule type="expression" dxfId="729" priority="4750">
      <formula>AlignmentType=2</formula>
    </cfRule>
    <cfRule type="expression" dxfId="728" priority="4751">
      <formula>AlignmentType=3</formula>
    </cfRule>
  </conditionalFormatting>
  <conditionalFormatting sqref="L9:AH9">
    <cfRule type="expression" dxfId="727" priority="4748">
      <formula>AlignmentType=2</formula>
    </cfRule>
    <cfRule type="expression" dxfId="726" priority="4749">
      <formula>AlignmentType=3</formula>
    </cfRule>
  </conditionalFormatting>
  <conditionalFormatting sqref="J11">
    <cfRule type="expression" dxfId="725" priority="4746">
      <formula>AlignmentType=2</formula>
    </cfRule>
    <cfRule type="expression" dxfId="724" priority="4747">
      <formula>AlignmentType=3</formula>
    </cfRule>
  </conditionalFormatting>
  <conditionalFormatting sqref="G30">
    <cfRule type="expression" dxfId="723" priority="4383">
      <formula>AlignmentType=2</formula>
    </cfRule>
    <cfRule type="expression" dxfId="722" priority="4384">
      <formula>AlignmentType=3</formula>
    </cfRule>
  </conditionalFormatting>
  <conditionalFormatting sqref="R10">
    <cfRule type="expression" dxfId="721" priority="1695" stopIfTrue="1">
      <formula>T11=FALSE</formula>
    </cfRule>
    <cfRule type="expression" dxfId="720" priority="1696">
      <formula>AND(AlignmentType=1, R10 = "ã", P8 + MatchScore = S11)</formula>
    </cfRule>
    <cfRule type="expression" dxfId="719" priority="1697">
      <formula>AND(AlignmentType=1, R10 = "ã", P8 + MismatchScore = S11)</formula>
    </cfRule>
    <cfRule type="expression" dxfId="718" priority="1698">
      <formula>AND(AlignmentType=2, R10 = "ã", P8 + MatchScore = S11)</formula>
    </cfRule>
    <cfRule type="expression" dxfId="717" priority="1699">
      <formula>AND(AlignmentType=2, R10 = "ã", P8 + MismatchScore = S11)</formula>
    </cfRule>
    <cfRule type="expression" dxfId="716" priority="1700">
      <formula>AND(AlignmentType=3, R10 = "ã", P8 + MatchScore = S11)</formula>
    </cfRule>
    <cfRule type="expression" dxfId="715" priority="1703">
      <formula>AND(AlignmentType=3, R10 = "ã", P8 + MismatchScore = S11)</formula>
    </cfRule>
  </conditionalFormatting>
  <conditionalFormatting sqref="S10">
    <cfRule type="expression" dxfId="714" priority="1702" stopIfTrue="1">
      <formula>T11=FALSE</formula>
    </cfRule>
  </conditionalFormatting>
  <conditionalFormatting sqref="R11">
    <cfRule type="expression" dxfId="713" priority="1701" stopIfTrue="1">
      <formula>T11=FALSE</formula>
    </cfRule>
  </conditionalFormatting>
  <conditionalFormatting sqref="U10">
    <cfRule type="expression" dxfId="712" priority="1632" stopIfTrue="1">
      <formula>W11=FALSE</formula>
    </cfRule>
    <cfRule type="expression" dxfId="711" priority="1633">
      <formula>AND(AlignmentType=1, U10 = "ã", S8 + MatchScore = V11)</formula>
    </cfRule>
    <cfRule type="expression" dxfId="710" priority="1634">
      <formula>AND(AlignmentType=1, U10 = "ã", S8 + MismatchScore = V11)</formula>
    </cfRule>
    <cfRule type="expression" dxfId="709" priority="1635">
      <formula>AND(AlignmentType=2, U10 = "ã", S8 + MatchScore = V11)</formula>
    </cfRule>
    <cfRule type="expression" dxfId="708" priority="1636">
      <formula>AND(AlignmentType=2, U10 = "ã", S8 + MismatchScore = V11)</formula>
    </cfRule>
    <cfRule type="expression" dxfId="707" priority="1637">
      <formula>AND(AlignmentType=3, U10 = "ã", S8 + MatchScore = V11)</formula>
    </cfRule>
    <cfRule type="expression" dxfId="706" priority="1640">
      <formula>AND(AlignmentType=3, U10 = "ã", S8 + MismatchScore = V11)</formula>
    </cfRule>
  </conditionalFormatting>
  <conditionalFormatting sqref="V10">
    <cfRule type="expression" dxfId="705" priority="1639" stopIfTrue="1">
      <formula>W11=FALSE</formula>
    </cfRule>
  </conditionalFormatting>
  <conditionalFormatting sqref="U11">
    <cfRule type="expression" dxfId="704" priority="1638" stopIfTrue="1">
      <formula>W11=FALSE</formula>
    </cfRule>
  </conditionalFormatting>
  <conditionalFormatting sqref="X10">
    <cfRule type="expression" dxfId="703" priority="1569" stopIfTrue="1">
      <formula>Z11=FALSE</formula>
    </cfRule>
    <cfRule type="expression" dxfId="702" priority="1570">
      <formula>AND(AlignmentType=1, X10 = "ã", V8 + MatchScore = Y11)</formula>
    </cfRule>
    <cfRule type="expression" dxfId="701" priority="1571">
      <formula>AND(AlignmentType=1, X10 = "ã", V8 + MismatchScore = Y11)</formula>
    </cfRule>
    <cfRule type="expression" dxfId="700" priority="1572">
      <formula>AND(AlignmentType=2, X10 = "ã", V8 + MatchScore = Y11)</formula>
    </cfRule>
    <cfRule type="expression" dxfId="699" priority="1573">
      <formula>AND(AlignmentType=2, X10 = "ã", V8 + MismatchScore = Y11)</formula>
    </cfRule>
    <cfRule type="expression" dxfId="698" priority="1574">
      <formula>AND(AlignmentType=3, X10 = "ã", V8 + MatchScore = Y11)</formula>
    </cfRule>
    <cfRule type="expression" dxfId="697" priority="1577">
      <formula>AND(AlignmentType=3, X10 = "ã", V8 + MismatchScore = Y11)</formula>
    </cfRule>
  </conditionalFormatting>
  <conditionalFormatting sqref="Y10">
    <cfRule type="expression" dxfId="696" priority="1576" stopIfTrue="1">
      <formula>Z11=FALSE</formula>
    </cfRule>
  </conditionalFormatting>
  <conditionalFormatting sqref="X11">
    <cfRule type="expression" dxfId="695" priority="1575" stopIfTrue="1">
      <formula>Z11=FALSE</formula>
    </cfRule>
  </conditionalFormatting>
  <conditionalFormatting sqref="AA10">
    <cfRule type="expression" dxfId="694" priority="1506" stopIfTrue="1">
      <formula>AC11=FALSE</formula>
    </cfRule>
    <cfRule type="expression" dxfId="693" priority="1507">
      <formula>AND(AlignmentType=1, AA10 = "ã", Y8 + MatchScore = AB11)</formula>
    </cfRule>
    <cfRule type="expression" dxfId="692" priority="1508">
      <formula>AND(AlignmentType=1, AA10 = "ã", Y8 + MismatchScore = AB11)</formula>
    </cfRule>
    <cfRule type="expression" dxfId="691" priority="1509">
      <formula>AND(AlignmentType=2, AA10 = "ã", Y8 + MatchScore = AB11)</formula>
    </cfRule>
    <cfRule type="expression" dxfId="690" priority="1510">
      <formula>AND(AlignmentType=2, AA10 = "ã", Y8 + MismatchScore = AB11)</formula>
    </cfRule>
    <cfRule type="expression" dxfId="689" priority="1511">
      <formula>AND(AlignmentType=3, AA10 = "ã", Y8 + MatchScore = AB11)</formula>
    </cfRule>
    <cfRule type="expression" dxfId="688" priority="1514">
      <formula>AND(AlignmentType=3, AA10 = "ã", Y8 + MismatchScore = AB11)</formula>
    </cfRule>
  </conditionalFormatting>
  <conditionalFormatting sqref="AB10">
    <cfRule type="expression" dxfId="687" priority="1513" stopIfTrue="1">
      <formula>AC11=FALSE</formula>
    </cfRule>
  </conditionalFormatting>
  <conditionalFormatting sqref="AA11">
    <cfRule type="expression" dxfId="686" priority="1512" stopIfTrue="1">
      <formula>AC11=FALSE</formula>
    </cfRule>
  </conditionalFormatting>
  <conditionalFormatting sqref="AD10">
    <cfRule type="expression" dxfId="685" priority="1443" stopIfTrue="1">
      <formula>AF11=FALSE</formula>
    </cfRule>
    <cfRule type="expression" dxfId="684" priority="1444">
      <formula>AND(AlignmentType=1, AD10 = "ã", AB8 + MatchScore = AE11)</formula>
    </cfRule>
    <cfRule type="expression" dxfId="683" priority="1445">
      <formula>AND(AlignmentType=1, AD10 = "ã", AB8 + MismatchScore = AE11)</formula>
    </cfRule>
    <cfRule type="expression" dxfId="682" priority="1446">
      <formula>AND(AlignmentType=2, AD10 = "ã", AB8 + MatchScore = AE11)</formula>
    </cfRule>
    <cfRule type="expression" dxfId="681" priority="1447">
      <formula>AND(AlignmentType=2, AD10 = "ã", AB8 + MismatchScore = AE11)</formula>
    </cfRule>
    <cfRule type="expression" dxfId="680" priority="1448">
      <formula>AND(AlignmentType=3, AD10 = "ã", AB8 + MatchScore = AE11)</formula>
    </cfRule>
    <cfRule type="expression" dxfId="679" priority="1451">
      <formula>AND(AlignmentType=3, AD10 = "ã", AB8 + MismatchScore = AE11)</formula>
    </cfRule>
  </conditionalFormatting>
  <conditionalFormatting sqref="AE10">
    <cfRule type="expression" dxfId="678" priority="1450" stopIfTrue="1">
      <formula>AF11=FALSE</formula>
    </cfRule>
  </conditionalFormatting>
  <conditionalFormatting sqref="AD11">
    <cfRule type="expression" dxfId="677" priority="1449" stopIfTrue="1">
      <formula>AF11=FALSE</formula>
    </cfRule>
  </conditionalFormatting>
  <conditionalFormatting sqref="AG10">
    <cfRule type="expression" dxfId="676" priority="1380" stopIfTrue="1">
      <formula>AI11=FALSE</formula>
    </cfRule>
    <cfRule type="expression" dxfId="675" priority="1381">
      <formula>AND(AlignmentType=1, AG10 = "ã", AE8 + MatchScore = AH11)</formula>
    </cfRule>
    <cfRule type="expression" dxfId="674" priority="1382">
      <formula>AND(AlignmentType=1, AG10 = "ã", AE8 + MismatchScore = AH11)</formula>
    </cfRule>
    <cfRule type="expression" dxfId="673" priority="1383">
      <formula>AND(AlignmentType=2, AG10 = "ã", AE8 + MatchScore = AH11)</formula>
    </cfRule>
    <cfRule type="expression" dxfId="672" priority="1384">
      <formula>AND(AlignmentType=2, AG10 = "ã", AE8 + MismatchScore = AH11)</formula>
    </cfRule>
    <cfRule type="expression" dxfId="671" priority="1385">
      <formula>AND(AlignmentType=3, AG10 = "ã", AE8 + MatchScore = AH11)</formula>
    </cfRule>
    <cfRule type="expression" dxfId="670" priority="1388">
      <formula>AND(AlignmentType=3, AG10 = "ã", AE8 + MismatchScore = AH11)</formula>
    </cfRule>
  </conditionalFormatting>
  <conditionalFormatting sqref="AH10">
    <cfRule type="expression" dxfId="669" priority="1387" stopIfTrue="1">
      <formula>AI11=FALSE</formula>
    </cfRule>
  </conditionalFormatting>
  <conditionalFormatting sqref="AG11">
    <cfRule type="expression" dxfId="668" priority="1386" stopIfTrue="1">
      <formula>AI11=FALSE</formula>
    </cfRule>
  </conditionalFormatting>
  <conditionalFormatting sqref="G33">
    <cfRule type="expression" dxfId="667" priority="1104">
      <formula>AlignmentType=1</formula>
    </cfRule>
    <cfRule type="expression" dxfId="666" priority="1106">
      <formula>AlignmentType=2</formula>
    </cfRule>
    <cfRule type="expression" dxfId="665" priority="1108">
      <formula>AlignmentType=3</formula>
    </cfRule>
  </conditionalFormatting>
  <conditionalFormatting sqref="G34">
    <cfRule type="expression" dxfId="664" priority="1098">
      <formula>AlignmentType=1</formula>
    </cfRule>
    <cfRule type="expression" dxfId="663" priority="1100">
      <formula>AlignmentType=2</formula>
    </cfRule>
    <cfRule type="expression" dxfId="662" priority="1102">
      <formula>AlignmentType=3</formula>
    </cfRule>
  </conditionalFormatting>
  <conditionalFormatting sqref="A9:A10">
    <cfRule type="expression" dxfId="661" priority="1092">
      <formula>AlignmentType=1</formula>
    </cfRule>
    <cfRule type="expression" dxfId="660" priority="1093">
      <formula>AlignmentType=2</formula>
    </cfRule>
    <cfRule type="expression" dxfId="659" priority="1094">
      <formula>AlignmentType=3</formula>
    </cfRule>
  </conditionalFormatting>
  <conditionalFormatting sqref="C9">
    <cfRule type="expression" dxfId="658" priority="1086">
      <formula>AlignmentType=1</formula>
    </cfRule>
    <cfRule type="expression" dxfId="657" priority="1087">
      <formula>AlignmentType=2</formula>
    </cfRule>
    <cfRule type="expression" dxfId="656" priority="1088">
      <formula>AlignmentType=3</formula>
    </cfRule>
  </conditionalFormatting>
  <conditionalFormatting sqref="C10">
    <cfRule type="expression" dxfId="655" priority="1082">
      <formula>AlignmentType=1</formula>
    </cfRule>
    <cfRule type="expression" dxfId="654" priority="1083">
      <formula>AlignmentType=2</formula>
    </cfRule>
    <cfRule type="expression" dxfId="653" priority="1084">
      <formula>AlignmentType=3</formula>
    </cfRule>
  </conditionalFormatting>
  <conditionalFormatting sqref="I13">
    <cfRule type="expression" dxfId="652" priority="1019" stopIfTrue="1">
      <formula>K14=FALSE</formula>
    </cfRule>
    <cfRule type="expression" dxfId="651" priority="1020">
      <formula>AND(AlignmentType=1, I13 = "ã", G11 + MatchScore = J14)</formula>
    </cfRule>
    <cfRule type="expression" dxfId="650" priority="1021">
      <formula>AND(AlignmentType=1, I13 = "ã", G11 + MismatchScore = J14)</formula>
    </cfRule>
    <cfRule type="expression" dxfId="649" priority="1022">
      <formula>AND(AlignmentType=2, I13 = "ã", G11 + MatchScore = J14)</formula>
    </cfRule>
    <cfRule type="expression" dxfId="648" priority="1023">
      <formula>AND(AlignmentType=2, I13 = "ã", G11 + MismatchScore = J14)</formula>
    </cfRule>
    <cfRule type="expression" dxfId="647" priority="1024">
      <formula>AND(AlignmentType=3, I13 = "ã", G11 + MatchScore = J14)</formula>
    </cfRule>
    <cfRule type="expression" dxfId="646" priority="1027">
      <formula>AND(AlignmentType=3, I13 = "ã", G11 + MismatchScore = J14)</formula>
    </cfRule>
  </conditionalFormatting>
  <conditionalFormatting sqref="J13">
    <cfRule type="expression" dxfId="645" priority="1026" stopIfTrue="1">
      <formula>K14=FALSE</formula>
    </cfRule>
  </conditionalFormatting>
  <conditionalFormatting sqref="I14">
    <cfRule type="expression" dxfId="644" priority="1025" stopIfTrue="1">
      <formula>K14=FALSE</formula>
    </cfRule>
  </conditionalFormatting>
  <conditionalFormatting sqref="U13">
    <cfRule type="expression" dxfId="643" priority="992" stopIfTrue="1">
      <formula>W14=FALSE</formula>
    </cfRule>
    <cfRule type="expression" dxfId="642" priority="993">
      <formula>AND(AlignmentType=1, U13 = "ã", S11 + MatchScore = V14)</formula>
    </cfRule>
    <cfRule type="expression" dxfId="641" priority="994">
      <formula>AND(AlignmentType=1, U13 = "ã", S11 + MismatchScore = V14)</formula>
    </cfRule>
    <cfRule type="expression" dxfId="640" priority="995">
      <formula>AND(AlignmentType=2, U13 = "ã", S11 + MatchScore = V14)</formula>
    </cfRule>
    <cfRule type="expression" dxfId="639" priority="996">
      <formula>AND(AlignmentType=2, U13 = "ã", S11 + MismatchScore = V14)</formula>
    </cfRule>
    <cfRule type="expression" dxfId="638" priority="997">
      <formula>AND(AlignmentType=3, U13 = "ã", S11 + MatchScore = V14)</formula>
    </cfRule>
    <cfRule type="expression" dxfId="637" priority="1000">
      <formula>AND(AlignmentType=3, U13 = "ã", S11 + MismatchScore = V14)</formula>
    </cfRule>
  </conditionalFormatting>
  <conditionalFormatting sqref="V13">
    <cfRule type="expression" dxfId="636" priority="999" stopIfTrue="1">
      <formula>W14=FALSE</formula>
    </cfRule>
  </conditionalFormatting>
  <conditionalFormatting sqref="U14">
    <cfRule type="expression" dxfId="635" priority="998" stopIfTrue="1">
      <formula>W14=FALSE</formula>
    </cfRule>
  </conditionalFormatting>
  <conditionalFormatting sqref="X13">
    <cfRule type="expression" dxfId="634" priority="983" stopIfTrue="1">
      <formula>Z14=FALSE</formula>
    </cfRule>
    <cfRule type="expression" dxfId="633" priority="984">
      <formula>AND(AlignmentType=1, X13 = "ã", V11 + MatchScore = Y14)</formula>
    </cfRule>
    <cfRule type="expression" dxfId="632" priority="985">
      <formula>AND(AlignmentType=1, X13 = "ã", V11 + MismatchScore = Y14)</formula>
    </cfRule>
    <cfRule type="expression" dxfId="631" priority="986">
      <formula>AND(AlignmentType=2, X13 = "ã", V11 + MatchScore = Y14)</formula>
    </cfRule>
    <cfRule type="expression" dxfId="630" priority="987">
      <formula>AND(AlignmentType=2, X13 = "ã", V11 + MismatchScore = Y14)</formula>
    </cfRule>
    <cfRule type="expression" dxfId="629" priority="988">
      <formula>AND(AlignmentType=3, X13 = "ã", V11 + MatchScore = Y14)</formula>
    </cfRule>
    <cfRule type="expression" dxfId="628" priority="991">
      <formula>AND(AlignmentType=3, X13 = "ã", V11 + MismatchScore = Y14)</formula>
    </cfRule>
  </conditionalFormatting>
  <conditionalFormatting sqref="Y13">
    <cfRule type="expression" dxfId="627" priority="990" stopIfTrue="1">
      <formula>Z14=FALSE</formula>
    </cfRule>
  </conditionalFormatting>
  <conditionalFormatting sqref="X14">
    <cfRule type="expression" dxfId="626" priority="989" stopIfTrue="1">
      <formula>Z14=FALSE</formula>
    </cfRule>
  </conditionalFormatting>
  <conditionalFormatting sqref="AA13">
    <cfRule type="expression" dxfId="625" priority="974" stopIfTrue="1">
      <formula>AC14=FALSE</formula>
    </cfRule>
    <cfRule type="expression" dxfId="624" priority="975">
      <formula>AND(AlignmentType=1, AA13 = "ã", Y11 + MatchScore = AB14)</formula>
    </cfRule>
    <cfRule type="expression" dxfId="623" priority="976">
      <formula>AND(AlignmentType=1, AA13 = "ã", Y11 + MismatchScore = AB14)</formula>
    </cfRule>
    <cfRule type="expression" dxfId="622" priority="977">
      <formula>AND(AlignmentType=2, AA13 = "ã", Y11 + MatchScore = AB14)</formula>
    </cfRule>
    <cfRule type="expression" dxfId="621" priority="978">
      <formula>AND(AlignmentType=2, AA13 = "ã", Y11 + MismatchScore = AB14)</formula>
    </cfRule>
    <cfRule type="expression" dxfId="620" priority="979">
      <formula>AND(AlignmentType=3, AA13 = "ã", Y11 + MatchScore = AB14)</formula>
    </cfRule>
    <cfRule type="expression" dxfId="619" priority="982">
      <formula>AND(AlignmentType=3, AA13 = "ã", Y11 + MismatchScore = AB14)</formula>
    </cfRule>
  </conditionalFormatting>
  <conditionalFormatting sqref="AB13">
    <cfRule type="expression" dxfId="618" priority="981" stopIfTrue="1">
      <formula>AC14=FALSE</formula>
    </cfRule>
  </conditionalFormatting>
  <conditionalFormatting sqref="AA14">
    <cfRule type="expression" dxfId="617" priority="980" stopIfTrue="1">
      <formula>AC14=FALSE</formula>
    </cfRule>
  </conditionalFormatting>
  <conditionalFormatting sqref="AD13">
    <cfRule type="expression" dxfId="616" priority="965" stopIfTrue="1">
      <formula>AF14=FALSE</formula>
    </cfRule>
    <cfRule type="expression" dxfId="615" priority="966">
      <formula>AND(AlignmentType=1, AD13 = "ã", AB11 + MatchScore = AE14)</formula>
    </cfRule>
    <cfRule type="expression" dxfId="614" priority="967">
      <formula>AND(AlignmentType=1, AD13 = "ã", AB11 + MismatchScore = AE14)</formula>
    </cfRule>
    <cfRule type="expression" dxfId="613" priority="968">
      <formula>AND(AlignmentType=2, AD13 = "ã", AB11 + MatchScore = AE14)</formula>
    </cfRule>
    <cfRule type="expression" dxfId="612" priority="969">
      <formula>AND(AlignmentType=2, AD13 = "ã", AB11 + MismatchScore = AE14)</formula>
    </cfRule>
    <cfRule type="expression" dxfId="611" priority="970">
      <formula>AND(AlignmentType=3, AD13 = "ã", AB11 + MatchScore = AE14)</formula>
    </cfRule>
    <cfRule type="expression" dxfId="610" priority="973">
      <formula>AND(AlignmentType=3, AD13 = "ã", AB11 + MismatchScore = AE14)</formula>
    </cfRule>
  </conditionalFormatting>
  <conditionalFormatting sqref="AE13">
    <cfRule type="expression" dxfId="609" priority="972" stopIfTrue="1">
      <formula>AF14=FALSE</formula>
    </cfRule>
  </conditionalFormatting>
  <conditionalFormatting sqref="AD14">
    <cfRule type="expression" dxfId="608" priority="971" stopIfTrue="1">
      <formula>AF14=FALSE</formula>
    </cfRule>
  </conditionalFormatting>
  <conditionalFormatting sqref="AG13">
    <cfRule type="expression" dxfId="607" priority="956" stopIfTrue="1">
      <formula>AI14=FALSE</formula>
    </cfRule>
    <cfRule type="expression" dxfId="606" priority="957">
      <formula>AND(AlignmentType=1, AG13 = "ã", AE11 + MatchScore = AH14)</formula>
    </cfRule>
    <cfRule type="expression" dxfId="605" priority="958">
      <formula>AND(AlignmentType=1, AG13 = "ã", AE11 + MismatchScore = AH14)</formula>
    </cfRule>
    <cfRule type="expression" dxfId="604" priority="959">
      <formula>AND(AlignmentType=2, AG13 = "ã", AE11 + MatchScore = AH14)</formula>
    </cfRule>
    <cfRule type="expression" dxfId="603" priority="960">
      <formula>AND(AlignmentType=2, AG13 = "ã", AE11 + MismatchScore = AH14)</formula>
    </cfRule>
    <cfRule type="expression" dxfId="602" priority="961">
      <formula>AND(AlignmentType=3, AG13 = "ã", AE11 + MatchScore = AH14)</formula>
    </cfRule>
    <cfRule type="expression" dxfId="601" priority="964">
      <formula>AND(AlignmentType=3, AG13 = "ã", AE11 + MismatchScore = AH14)</formula>
    </cfRule>
  </conditionalFormatting>
  <conditionalFormatting sqref="AH13">
    <cfRule type="expression" dxfId="600" priority="963" stopIfTrue="1">
      <formula>AI14=FALSE</formula>
    </cfRule>
  </conditionalFormatting>
  <conditionalFormatting sqref="AG14">
    <cfRule type="expression" dxfId="599" priority="962" stopIfTrue="1">
      <formula>AI14=FALSE</formula>
    </cfRule>
  </conditionalFormatting>
  <conditionalFormatting sqref="I16">
    <cfRule type="expression" dxfId="598" priority="938" stopIfTrue="1">
      <formula>K17=FALSE</formula>
    </cfRule>
    <cfRule type="expression" dxfId="597" priority="939">
      <formula>AND(AlignmentType=1, I16 = "ã", G14 + MatchScore = J17)</formula>
    </cfRule>
    <cfRule type="expression" dxfId="596" priority="940">
      <formula>AND(AlignmentType=1, I16 = "ã", G14 + MismatchScore = J17)</formula>
    </cfRule>
    <cfRule type="expression" dxfId="595" priority="941">
      <formula>AND(AlignmentType=2, I16 = "ã", G14 + MatchScore = J17)</formula>
    </cfRule>
    <cfRule type="expression" dxfId="594" priority="942">
      <formula>AND(AlignmentType=2, I16 = "ã", G14 + MismatchScore = J17)</formula>
    </cfRule>
    <cfRule type="expression" dxfId="593" priority="943">
      <formula>AND(AlignmentType=3, I16 = "ã", G14 + MatchScore = J17)</formula>
    </cfRule>
    <cfRule type="expression" dxfId="592" priority="946">
      <formula>AND(AlignmentType=3, I16 = "ã", G14 + MismatchScore = J17)</formula>
    </cfRule>
  </conditionalFormatting>
  <conditionalFormatting sqref="J16">
    <cfRule type="expression" dxfId="591" priority="945" stopIfTrue="1">
      <formula>K17=FALSE</formula>
    </cfRule>
  </conditionalFormatting>
  <conditionalFormatting sqref="I17">
    <cfRule type="expression" dxfId="590" priority="944" stopIfTrue="1">
      <formula>K17=FALSE</formula>
    </cfRule>
  </conditionalFormatting>
  <conditionalFormatting sqref="X16">
    <cfRule type="expression" dxfId="589" priority="902" stopIfTrue="1">
      <formula>Z17=FALSE</formula>
    </cfRule>
    <cfRule type="expression" dxfId="588" priority="903">
      <formula>AND(AlignmentType=1, X16 = "ã", V14 + MatchScore = Y17)</formula>
    </cfRule>
    <cfRule type="expression" dxfId="587" priority="904">
      <formula>AND(AlignmentType=1, X16 = "ã", V14 + MismatchScore = Y17)</formula>
    </cfRule>
    <cfRule type="expression" dxfId="586" priority="905">
      <formula>AND(AlignmentType=2, X16 = "ã", V14 + MatchScore = Y17)</formula>
    </cfRule>
    <cfRule type="expression" dxfId="585" priority="906">
      <formula>AND(AlignmentType=2, X16 = "ã", V14 + MismatchScore = Y17)</formula>
    </cfRule>
    <cfRule type="expression" dxfId="584" priority="907">
      <formula>AND(AlignmentType=3, X16 = "ã", V14 + MatchScore = Y17)</formula>
    </cfRule>
    <cfRule type="expression" dxfId="583" priority="910">
      <formula>AND(AlignmentType=3, X16 = "ã", V14 + MismatchScore = Y17)</formula>
    </cfRule>
  </conditionalFormatting>
  <conditionalFormatting sqref="Y16">
    <cfRule type="expression" dxfId="582" priority="909" stopIfTrue="1">
      <formula>Z17=FALSE</formula>
    </cfRule>
  </conditionalFormatting>
  <conditionalFormatting sqref="X17">
    <cfRule type="expression" dxfId="581" priority="908" stopIfTrue="1">
      <formula>Z17=FALSE</formula>
    </cfRule>
  </conditionalFormatting>
  <conditionalFormatting sqref="AA16">
    <cfRule type="expression" dxfId="580" priority="893" stopIfTrue="1">
      <formula>AC17=FALSE</formula>
    </cfRule>
    <cfRule type="expression" dxfId="579" priority="894">
      <formula>AND(AlignmentType=1, AA16 = "ã", Y14 + MatchScore = AB17)</formula>
    </cfRule>
    <cfRule type="expression" dxfId="578" priority="895">
      <formula>AND(AlignmentType=1, AA16 = "ã", Y14 + MismatchScore = AB17)</formula>
    </cfRule>
    <cfRule type="expression" dxfId="577" priority="896">
      <formula>AND(AlignmentType=2, AA16 = "ã", Y14 + MatchScore = AB17)</formula>
    </cfRule>
    <cfRule type="expression" dxfId="576" priority="897">
      <formula>AND(AlignmentType=2, AA16 = "ã", Y14 + MismatchScore = AB17)</formula>
    </cfRule>
    <cfRule type="expression" dxfId="575" priority="898">
      <formula>AND(AlignmentType=3, AA16 = "ã", Y14 + MatchScore = AB17)</formula>
    </cfRule>
    <cfRule type="expression" dxfId="574" priority="901">
      <formula>AND(AlignmentType=3, AA16 = "ã", Y14 + MismatchScore = AB17)</formula>
    </cfRule>
  </conditionalFormatting>
  <conditionalFormatting sqref="AB16">
    <cfRule type="expression" dxfId="573" priority="900" stopIfTrue="1">
      <formula>AC17=FALSE</formula>
    </cfRule>
  </conditionalFormatting>
  <conditionalFormatting sqref="AA17">
    <cfRule type="expression" dxfId="572" priority="899" stopIfTrue="1">
      <formula>AC17=FALSE</formula>
    </cfRule>
  </conditionalFormatting>
  <conditionalFormatting sqref="AD16">
    <cfRule type="expression" dxfId="571" priority="884" stopIfTrue="1">
      <formula>AF17=FALSE</formula>
    </cfRule>
    <cfRule type="expression" dxfId="570" priority="885">
      <formula>AND(AlignmentType=1, AD16 = "ã", AB14 + MatchScore = AE17)</formula>
    </cfRule>
    <cfRule type="expression" dxfId="569" priority="886">
      <formula>AND(AlignmentType=1, AD16 = "ã", AB14 + MismatchScore = AE17)</formula>
    </cfRule>
    <cfRule type="expression" dxfId="568" priority="887">
      <formula>AND(AlignmentType=2, AD16 = "ã", AB14 + MatchScore = AE17)</formula>
    </cfRule>
    <cfRule type="expression" dxfId="567" priority="888">
      <formula>AND(AlignmentType=2, AD16 = "ã", AB14 + MismatchScore = AE17)</formula>
    </cfRule>
    <cfRule type="expression" dxfId="566" priority="889">
      <formula>AND(AlignmentType=3, AD16 = "ã", AB14 + MatchScore = AE17)</formula>
    </cfRule>
    <cfRule type="expression" dxfId="565" priority="892">
      <formula>AND(AlignmentType=3, AD16 = "ã", AB14 + MismatchScore = AE17)</formula>
    </cfRule>
  </conditionalFormatting>
  <conditionalFormatting sqref="AE16">
    <cfRule type="expression" dxfId="564" priority="891" stopIfTrue="1">
      <formula>AF17=FALSE</formula>
    </cfRule>
  </conditionalFormatting>
  <conditionalFormatting sqref="AD17">
    <cfRule type="expression" dxfId="563" priority="890" stopIfTrue="1">
      <formula>AF17=FALSE</formula>
    </cfRule>
  </conditionalFormatting>
  <conditionalFormatting sqref="AG16">
    <cfRule type="expression" dxfId="562" priority="875" stopIfTrue="1">
      <formula>AI17=FALSE</formula>
    </cfRule>
    <cfRule type="expression" dxfId="561" priority="876">
      <formula>AND(AlignmentType=1, AG16 = "ã", AE14 + MatchScore = AH17)</formula>
    </cfRule>
    <cfRule type="expression" dxfId="560" priority="877">
      <formula>AND(AlignmentType=1, AG16 = "ã", AE14 + MismatchScore = AH17)</formula>
    </cfRule>
    <cfRule type="expression" dxfId="559" priority="878">
      <formula>AND(AlignmentType=2, AG16 = "ã", AE14 + MatchScore = AH17)</formula>
    </cfRule>
    <cfRule type="expression" dxfId="558" priority="879">
      <formula>AND(AlignmentType=2, AG16 = "ã", AE14 + MismatchScore = AH17)</formula>
    </cfRule>
    <cfRule type="expression" dxfId="557" priority="880">
      <formula>AND(AlignmentType=3, AG16 = "ã", AE14 + MatchScore = AH17)</formula>
    </cfRule>
    <cfRule type="expression" dxfId="556" priority="883">
      <formula>AND(AlignmentType=3, AG16 = "ã", AE14 + MismatchScore = AH17)</formula>
    </cfRule>
  </conditionalFormatting>
  <conditionalFormatting sqref="AH16">
    <cfRule type="expression" dxfId="555" priority="882" stopIfTrue="1">
      <formula>AI17=FALSE</formula>
    </cfRule>
  </conditionalFormatting>
  <conditionalFormatting sqref="AG17">
    <cfRule type="expression" dxfId="554" priority="881" stopIfTrue="1">
      <formula>AI17=FALSE</formula>
    </cfRule>
  </conditionalFormatting>
  <conditionalFormatting sqref="L16">
    <cfRule type="expression" dxfId="553" priority="866" stopIfTrue="1">
      <formula>N17=FALSE</formula>
    </cfRule>
    <cfRule type="expression" dxfId="552" priority="867">
      <formula>AND(AlignmentType=1, L16 = "ã", J14 + MatchScore = M17)</formula>
    </cfRule>
    <cfRule type="expression" dxfId="551" priority="868">
      <formula>AND(AlignmentType=1, L16 = "ã", J14 + MismatchScore = M17)</formula>
    </cfRule>
    <cfRule type="expression" dxfId="550" priority="869">
      <formula>AND(AlignmentType=2, L16 = "ã", J14 + MatchScore = M17)</formula>
    </cfRule>
    <cfRule type="expression" dxfId="549" priority="870">
      <formula>AND(AlignmentType=2, L16 = "ã", J14 + MismatchScore = M17)</formula>
    </cfRule>
    <cfRule type="expression" dxfId="548" priority="871">
      <formula>AND(AlignmentType=3, L16 = "ã", J14 + MatchScore = M17)</formula>
    </cfRule>
    <cfRule type="expression" dxfId="547" priority="874">
      <formula>AND(AlignmentType=3, L16 = "ã", J14 + MismatchScore = M17)</formula>
    </cfRule>
  </conditionalFormatting>
  <conditionalFormatting sqref="M16">
    <cfRule type="expression" dxfId="546" priority="873" stopIfTrue="1">
      <formula>N17=FALSE</formula>
    </cfRule>
  </conditionalFormatting>
  <conditionalFormatting sqref="L17">
    <cfRule type="expression" dxfId="545" priority="872" stopIfTrue="1">
      <formula>N17=FALSE</formula>
    </cfRule>
  </conditionalFormatting>
  <conditionalFormatting sqref="I19">
    <cfRule type="expression" dxfId="544" priority="857" stopIfTrue="1">
      <formula>K20=FALSE</formula>
    </cfRule>
    <cfRule type="expression" dxfId="543" priority="858">
      <formula>AND(AlignmentType=1, I19 = "ã", G17 + MatchScore = J20)</formula>
    </cfRule>
    <cfRule type="expression" dxfId="542" priority="859">
      <formula>AND(AlignmentType=1, I19 = "ã", G17 + MismatchScore = J20)</formula>
    </cfRule>
    <cfRule type="expression" dxfId="541" priority="860">
      <formula>AND(AlignmentType=2, I19 = "ã", G17 + MatchScore = J20)</formula>
    </cfRule>
    <cfRule type="expression" dxfId="540" priority="861">
      <formula>AND(AlignmentType=2, I19 = "ã", G17 + MismatchScore = J20)</formula>
    </cfRule>
    <cfRule type="expression" dxfId="539" priority="862">
      <formula>AND(AlignmentType=3, I19 = "ã", G17 + MatchScore = J20)</formula>
    </cfRule>
    <cfRule type="expression" dxfId="538" priority="865">
      <formula>AND(AlignmentType=3, I19 = "ã", G17 + MismatchScore = J20)</formula>
    </cfRule>
  </conditionalFormatting>
  <conditionalFormatting sqref="J19">
    <cfRule type="expression" dxfId="537" priority="864" stopIfTrue="1">
      <formula>K20=FALSE</formula>
    </cfRule>
  </conditionalFormatting>
  <conditionalFormatting sqref="I20">
    <cfRule type="expression" dxfId="536" priority="863" stopIfTrue="1">
      <formula>K20=FALSE</formula>
    </cfRule>
  </conditionalFormatting>
  <conditionalFormatting sqref="O19">
    <cfRule type="expression" dxfId="535" priority="848" stopIfTrue="1">
      <formula>Q20=FALSE</formula>
    </cfRule>
    <cfRule type="expression" dxfId="534" priority="849">
      <formula>AND(AlignmentType=1, O19 = "ã", M17 + MatchScore = P20)</formula>
    </cfRule>
    <cfRule type="expression" dxfId="533" priority="850">
      <formula>AND(AlignmentType=1, O19 = "ã", M17 + MismatchScore = P20)</formula>
    </cfRule>
    <cfRule type="expression" dxfId="532" priority="851">
      <formula>AND(AlignmentType=2, O19 = "ã", M17 + MatchScore = P20)</formula>
    </cfRule>
    <cfRule type="expression" dxfId="531" priority="852">
      <formula>AND(AlignmentType=2, O19 = "ã", M17 + MismatchScore = P20)</formula>
    </cfRule>
    <cfRule type="expression" dxfId="530" priority="853">
      <formula>AND(AlignmentType=3, O19 = "ã", M17 + MatchScore = P20)</formula>
    </cfRule>
    <cfRule type="expression" dxfId="529" priority="856">
      <formula>AND(AlignmentType=3, O19 = "ã", M17 + MismatchScore = P20)</formula>
    </cfRule>
  </conditionalFormatting>
  <conditionalFormatting sqref="P19">
    <cfRule type="expression" dxfId="528" priority="855" stopIfTrue="1">
      <formula>Q20=FALSE</formula>
    </cfRule>
  </conditionalFormatting>
  <conditionalFormatting sqref="O20">
    <cfRule type="expression" dxfId="527" priority="854" stopIfTrue="1">
      <formula>Q20=FALSE</formula>
    </cfRule>
  </conditionalFormatting>
  <conditionalFormatting sqref="AD19">
    <cfRule type="expression" dxfId="526" priority="803" stopIfTrue="1">
      <formula>AF20=FALSE</formula>
    </cfRule>
    <cfRule type="expression" dxfId="525" priority="804">
      <formula>AND(AlignmentType=1, AD19 = "ã", AB17 + MatchScore = AE20)</formula>
    </cfRule>
    <cfRule type="expression" dxfId="524" priority="805">
      <formula>AND(AlignmentType=1, AD19 = "ã", AB17 + MismatchScore = AE20)</formula>
    </cfRule>
    <cfRule type="expression" dxfId="523" priority="806">
      <formula>AND(AlignmentType=2, AD19 = "ã", AB17 + MatchScore = AE20)</formula>
    </cfRule>
    <cfRule type="expression" dxfId="522" priority="807">
      <formula>AND(AlignmentType=2, AD19 = "ã", AB17 + MismatchScore = AE20)</formula>
    </cfRule>
    <cfRule type="expression" dxfId="521" priority="808">
      <formula>AND(AlignmentType=3, AD19 = "ã", AB17 + MatchScore = AE20)</formula>
    </cfRule>
    <cfRule type="expression" dxfId="520" priority="811">
      <formula>AND(AlignmentType=3, AD19 = "ã", AB17 + MismatchScore = AE20)</formula>
    </cfRule>
  </conditionalFormatting>
  <conditionalFormatting sqref="AE19">
    <cfRule type="expression" dxfId="519" priority="810" stopIfTrue="1">
      <formula>AF20=FALSE</formula>
    </cfRule>
  </conditionalFormatting>
  <conditionalFormatting sqref="AD20">
    <cfRule type="expression" dxfId="518" priority="809" stopIfTrue="1">
      <formula>AF20=FALSE</formula>
    </cfRule>
  </conditionalFormatting>
  <conditionalFormatting sqref="AG19">
    <cfRule type="expression" dxfId="517" priority="794" stopIfTrue="1">
      <formula>AI20=FALSE</formula>
    </cfRule>
    <cfRule type="expression" dxfId="516" priority="795">
      <formula>AND(AlignmentType=1, AG19 = "ã", AE17 + MatchScore = AH20)</formula>
    </cfRule>
    <cfRule type="expression" dxfId="515" priority="796">
      <formula>AND(AlignmentType=1, AG19 = "ã", AE17 + MismatchScore = AH20)</formula>
    </cfRule>
    <cfRule type="expression" dxfId="514" priority="797">
      <formula>AND(AlignmentType=2, AG19 = "ã", AE17 + MatchScore = AH20)</formula>
    </cfRule>
    <cfRule type="expression" dxfId="513" priority="798">
      <formula>AND(AlignmentType=2, AG19 = "ã", AE17 + MismatchScore = AH20)</formula>
    </cfRule>
    <cfRule type="expression" dxfId="512" priority="799">
      <formula>AND(AlignmentType=3, AG19 = "ã", AE17 + MatchScore = AH20)</formula>
    </cfRule>
    <cfRule type="expression" dxfId="511" priority="802">
      <formula>AND(AlignmentType=3, AG19 = "ã", AE17 + MismatchScore = AH20)</formula>
    </cfRule>
  </conditionalFormatting>
  <conditionalFormatting sqref="AH19">
    <cfRule type="expression" dxfId="510" priority="801" stopIfTrue="1">
      <formula>AI20=FALSE</formula>
    </cfRule>
  </conditionalFormatting>
  <conditionalFormatting sqref="AG20">
    <cfRule type="expression" dxfId="509" priority="800" stopIfTrue="1">
      <formula>AI20=FALSE</formula>
    </cfRule>
  </conditionalFormatting>
  <conditionalFormatting sqref="L19">
    <cfRule type="expression" dxfId="508" priority="785" stopIfTrue="1">
      <formula>N20=FALSE</formula>
    </cfRule>
    <cfRule type="expression" dxfId="507" priority="786">
      <formula>AND(AlignmentType=1, L19 = "ã", J17 + MatchScore = M20)</formula>
    </cfRule>
    <cfRule type="expression" dxfId="506" priority="787">
      <formula>AND(AlignmentType=1, L19 = "ã", J17 + MismatchScore = M20)</formula>
    </cfRule>
    <cfRule type="expression" dxfId="505" priority="788">
      <formula>AND(AlignmentType=2, L19 = "ã", J17 + MatchScore = M20)</formula>
    </cfRule>
    <cfRule type="expression" dxfId="504" priority="789">
      <formula>AND(AlignmentType=2, L19 = "ã", J17 + MismatchScore = M20)</formula>
    </cfRule>
    <cfRule type="expression" dxfId="503" priority="790">
      <formula>AND(AlignmentType=3, L19 = "ã", J17 + MatchScore = M20)</formula>
    </cfRule>
    <cfRule type="expression" dxfId="502" priority="793">
      <formula>AND(AlignmentType=3, L19 = "ã", J17 + MismatchScore = M20)</formula>
    </cfRule>
  </conditionalFormatting>
  <conditionalFormatting sqref="M19">
    <cfRule type="expression" dxfId="501" priority="792" stopIfTrue="1">
      <formula>N20=FALSE</formula>
    </cfRule>
  </conditionalFormatting>
  <conditionalFormatting sqref="L20">
    <cfRule type="expression" dxfId="500" priority="791" stopIfTrue="1">
      <formula>N20=FALSE</formula>
    </cfRule>
  </conditionalFormatting>
  <conditionalFormatting sqref="I22">
    <cfRule type="expression" dxfId="499" priority="776" stopIfTrue="1">
      <formula>K23=FALSE</formula>
    </cfRule>
    <cfRule type="expression" dxfId="498" priority="777">
      <formula>AND(AlignmentType=1, I22 = "ã", G20 + MatchScore = J23)</formula>
    </cfRule>
    <cfRule type="expression" dxfId="497" priority="778">
      <formula>AND(AlignmentType=1, I22 = "ã", G20 + MismatchScore = J23)</formula>
    </cfRule>
    <cfRule type="expression" dxfId="496" priority="779">
      <formula>AND(AlignmentType=2, I22 = "ã", G20 + MatchScore = J23)</formula>
    </cfRule>
    <cfRule type="expression" dxfId="495" priority="780">
      <formula>AND(AlignmentType=2, I22 = "ã", G20 + MismatchScore = J23)</formula>
    </cfRule>
    <cfRule type="expression" dxfId="494" priority="781">
      <formula>AND(AlignmentType=3, I22 = "ã", G20 + MatchScore = J23)</formula>
    </cfRule>
    <cfRule type="expression" dxfId="493" priority="784">
      <formula>AND(AlignmentType=3, I22 = "ã", G20 + MismatchScore = J23)</formula>
    </cfRule>
  </conditionalFormatting>
  <conditionalFormatting sqref="J22">
    <cfRule type="expression" dxfId="492" priority="783" stopIfTrue="1">
      <formula>K23=FALSE</formula>
    </cfRule>
  </conditionalFormatting>
  <conditionalFormatting sqref="I23">
    <cfRule type="expression" dxfId="491" priority="782" stopIfTrue="1">
      <formula>K23=FALSE</formula>
    </cfRule>
  </conditionalFormatting>
  <conditionalFormatting sqref="O22">
    <cfRule type="expression" dxfId="490" priority="767" stopIfTrue="1">
      <formula>Q23=FALSE</formula>
    </cfRule>
    <cfRule type="expression" dxfId="489" priority="768">
      <formula>AND(AlignmentType=1, O22 = "ã", M20 + MatchScore = P23)</formula>
    </cfRule>
    <cfRule type="expression" dxfId="488" priority="769">
      <formula>AND(AlignmentType=1, O22 = "ã", M20 + MismatchScore = P23)</formula>
    </cfRule>
    <cfRule type="expression" dxfId="487" priority="770">
      <formula>AND(AlignmentType=2, O22 = "ã", M20 + MatchScore = P23)</formula>
    </cfRule>
    <cfRule type="expression" dxfId="486" priority="771">
      <formula>AND(AlignmentType=2, O22 = "ã", M20 + MismatchScore = P23)</formula>
    </cfRule>
    <cfRule type="expression" dxfId="485" priority="772">
      <formula>AND(AlignmentType=3, O22 = "ã", M20 + MatchScore = P23)</formula>
    </cfRule>
    <cfRule type="expression" dxfId="484" priority="775">
      <formula>AND(AlignmentType=3, O22 = "ã", M20 + MismatchScore = P23)</formula>
    </cfRule>
  </conditionalFormatting>
  <conditionalFormatting sqref="P22">
    <cfRule type="expression" dxfId="483" priority="774" stopIfTrue="1">
      <formula>Q23=FALSE</formula>
    </cfRule>
  </conditionalFormatting>
  <conditionalFormatting sqref="O23">
    <cfRule type="expression" dxfId="482" priority="773" stopIfTrue="1">
      <formula>Q23=FALSE</formula>
    </cfRule>
  </conditionalFormatting>
  <conditionalFormatting sqref="R22">
    <cfRule type="expression" dxfId="481" priority="758" stopIfTrue="1">
      <formula>T23=FALSE</formula>
    </cfRule>
    <cfRule type="expression" dxfId="480" priority="759">
      <formula>AND(AlignmentType=1, R22 = "ã", P20 + MatchScore = S23)</formula>
    </cfRule>
    <cfRule type="expression" dxfId="479" priority="760">
      <formula>AND(AlignmentType=1, R22 = "ã", P20 + MismatchScore = S23)</formula>
    </cfRule>
    <cfRule type="expression" dxfId="478" priority="761">
      <formula>AND(AlignmentType=2, R22 = "ã", P20 + MatchScore = S23)</formula>
    </cfRule>
    <cfRule type="expression" dxfId="477" priority="762">
      <formula>AND(AlignmentType=2, R22 = "ã", P20 + MismatchScore = S23)</formula>
    </cfRule>
    <cfRule type="expression" dxfId="476" priority="763">
      <formula>AND(AlignmentType=3, R22 = "ã", P20 + MatchScore = S23)</formula>
    </cfRule>
    <cfRule type="expression" dxfId="475" priority="766">
      <formula>AND(AlignmentType=3, R22 = "ã", P20 + MismatchScore = S23)</formula>
    </cfRule>
  </conditionalFormatting>
  <conditionalFormatting sqref="S22">
    <cfRule type="expression" dxfId="474" priority="765" stopIfTrue="1">
      <formula>T23=FALSE</formula>
    </cfRule>
  </conditionalFormatting>
  <conditionalFormatting sqref="R23">
    <cfRule type="expression" dxfId="473" priority="764" stopIfTrue="1">
      <formula>T23=FALSE</formula>
    </cfRule>
  </conditionalFormatting>
  <conditionalFormatting sqref="AG22">
    <cfRule type="expression" dxfId="472" priority="713" stopIfTrue="1">
      <formula>AI23=FALSE</formula>
    </cfRule>
    <cfRule type="expression" dxfId="471" priority="714">
      <formula>AND(AlignmentType=1, AG22 = "ã", AE20 + MatchScore = AH23)</formula>
    </cfRule>
    <cfRule type="expression" dxfId="470" priority="715">
      <formula>AND(AlignmentType=1, AG22 = "ã", AE20 + MismatchScore = AH23)</formula>
    </cfRule>
    <cfRule type="expression" dxfId="469" priority="716">
      <formula>AND(AlignmentType=2, AG22 = "ã", AE20 + MatchScore = AH23)</formula>
    </cfRule>
    <cfRule type="expression" dxfId="468" priority="717">
      <formula>AND(AlignmentType=2, AG22 = "ã", AE20 + MismatchScore = AH23)</formula>
    </cfRule>
    <cfRule type="expression" dxfId="467" priority="718">
      <formula>AND(AlignmentType=3, AG22 = "ã", AE20 + MatchScore = AH23)</formula>
    </cfRule>
    <cfRule type="expression" dxfId="466" priority="721">
      <formula>AND(AlignmentType=3, AG22 = "ã", AE20 + MismatchScore = AH23)</formula>
    </cfRule>
  </conditionalFormatting>
  <conditionalFormatting sqref="AH22">
    <cfRule type="expression" dxfId="465" priority="720" stopIfTrue="1">
      <formula>AI23=FALSE</formula>
    </cfRule>
  </conditionalFormatting>
  <conditionalFormatting sqref="AG23">
    <cfRule type="expression" dxfId="464" priority="719" stopIfTrue="1">
      <formula>AI23=FALSE</formula>
    </cfRule>
  </conditionalFormatting>
  <conditionalFormatting sqref="L22">
    <cfRule type="expression" dxfId="463" priority="704" stopIfTrue="1">
      <formula>N23=FALSE</formula>
    </cfRule>
    <cfRule type="expression" dxfId="462" priority="705">
      <formula>AND(AlignmentType=1, L22 = "ã", J20 + MatchScore = M23)</formula>
    </cfRule>
    <cfRule type="expression" dxfId="461" priority="706">
      <formula>AND(AlignmentType=1, L22 = "ã", J20 + MismatchScore = M23)</formula>
    </cfRule>
    <cfRule type="expression" dxfId="460" priority="707">
      <formula>AND(AlignmentType=2, L22 = "ã", J20 + MatchScore = M23)</formula>
    </cfRule>
    <cfRule type="expression" dxfId="459" priority="708">
      <formula>AND(AlignmentType=2, L22 = "ã", J20 + MismatchScore = M23)</formula>
    </cfRule>
    <cfRule type="expression" dxfId="458" priority="709">
      <formula>AND(AlignmentType=3, L22 = "ã", J20 + MatchScore = M23)</formula>
    </cfRule>
    <cfRule type="expression" dxfId="457" priority="712">
      <formula>AND(AlignmentType=3, L22 = "ã", J20 + MismatchScore = M23)</formula>
    </cfRule>
  </conditionalFormatting>
  <conditionalFormatting sqref="M22">
    <cfRule type="expression" dxfId="456" priority="711" stopIfTrue="1">
      <formula>N23=FALSE</formula>
    </cfRule>
  </conditionalFormatting>
  <conditionalFormatting sqref="L23">
    <cfRule type="expression" dxfId="455" priority="710" stopIfTrue="1">
      <formula>N23=FALSE</formula>
    </cfRule>
  </conditionalFormatting>
  <conditionalFormatting sqref="I25">
    <cfRule type="expression" dxfId="454" priority="695" stopIfTrue="1">
      <formula>K26=FALSE</formula>
    </cfRule>
    <cfRule type="expression" dxfId="453" priority="696">
      <formula>AND(AlignmentType=1, I25 = "ã", G23 + MatchScore = J26)</formula>
    </cfRule>
    <cfRule type="expression" dxfId="452" priority="697">
      <formula>AND(AlignmentType=1, I25 = "ã", G23 + MismatchScore = J26)</formula>
    </cfRule>
    <cfRule type="expression" dxfId="451" priority="698">
      <formula>AND(AlignmentType=2, I25 = "ã", G23 + MatchScore = J26)</formula>
    </cfRule>
    <cfRule type="expression" dxfId="450" priority="699">
      <formula>AND(AlignmentType=2, I25 = "ã", G23 + MismatchScore = J26)</formula>
    </cfRule>
    <cfRule type="expression" dxfId="449" priority="700">
      <formula>AND(AlignmentType=3, I25 = "ã", G23 + MatchScore = J26)</formula>
    </cfRule>
    <cfRule type="expression" dxfId="448" priority="703">
      <formula>AND(AlignmentType=3, I25 = "ã", G23 + MismatchScore = J26)</formula>
    </cfRule>
  </conditionalFormatting>
  <conditionalFormatting sqref="J25">
    <cfRule type="expression" dxfId="447" priority="702" stopIfTrue="1">
      <formula>K26=FALSE</formula>
    </cfRule>
  </conditionalFormatting>
  <conditionalFormatting sqref="I26">
    <cfRule type="expression" dxfId="446" priority="701" stopIfTrue="1">
      <formula>K26=FALSE</formula>
    </cfRule>
  </conditionalFormatting>
  <conditionalFormatting sqref="O25">
    <cfRule type="expression" dxfId="445" priority="686" stopIfTrue="1">
      <formula>Q26=FALSE</formula>
    </cfRule>
    <cfRule type="expression" dxfId="444" priority="687">
      <formula>AND(AlignmentType=1, O25 = "ã", M23 + MatchScore = P26)</formula>
    </cfRule>
    <cfRule type="expression" dxfId="443" priority="688">
      <formula>AND(AlignmentType=1, O25 = "ã", M23 + MismatchScore = P26)</formula>
    </cfRule>
    <cfRule type="expression" dxfId="442" priority="689">
      <formula>AND(AlignmentType=2, O25 = "ã", M23 + MatchScore = P26)</formula>
    </cfRule>
    <cfRule type="expression" dxfId="441" priority="690">
      <formula>AND(AlignmentType=2, O25 = "ã", M23 + MismatchScore = P26)</formula>
    </cfRule>
    <cfRule type="expression" dxfId="440" priority="691">
      <formula>AND(AlignmentType=3, O25 = "ã", M23 + MatchScore = P26)</formula>
    </cfRule>
    <cfRule type="expression" dxfId="439" priority="694">
      <formula>AND(AlignmentType=3, O25 = "ã", M23 + MismatchScore = P26)</formula>
    </cfRule>
  </conditionalFormatting>
  <conditionalFormatting sqref="P25">
    <cfRule type="expression" dxfId="438" priority="693" stopIfTrue="1">
      <formula>Q26=FALSE</formula>
    </cfRule>
  </conditionalFormatting>
  <conditionalFormatting sqref="O26">
    <cfRule type="expression" dxfId="437" priority="692" stopIfTrue="1">
      <formula>Q26=FALSE</formula>
    </cfRule>
  </conditionalFormatting>
  <conditionalFormatting sqref="R25">
    <cfRule type="expression" dxfId="436" priority="677" stopIfTrue="1">
      <formula>T26=FALSE</formula>
    </cfRule>
    <cfRule type="expression" dxfId="435" priority="678">
      <formula>AND(AlignmentType=1, R25 = "ã", P23 + MatchScore = S26)</formula>
    </cfRule>
    <cfRule type="expression" dxfId="434" priority="679">
      <formula>AND(AlignmentType=1, R25 = "ã", P23 + MismatchScore = S26)</formula>
    </cfRule>
    <cfRule type="expression" dxfId="433" priority="680">
      <formula>AND(AlignmentType=2, R25 = "ã", P23 + MatchScore = S26)</formula>
    </cfRule>
    <cfRule type="expression" dxfId="432" priority="681">
      <formula>AND(AlignmentType=2, R25 = "ã", P23 + MismatchScore = S26)</formula>
    </cfRule>
    <cfRule type="expression" dxfId="431" priority="682">
      <formula>AND(AlignmentType=3, R25 = "ã", P23 + MatchScore = S26)</formula>
    </cfRule>
    <cfRule type="expression" dxfId="430" priority="685">
      <formula>AND(AlignmentType=3, R25 = "ã", P23 + MismatchScore = S26)</formula>
    </cfRule>
  </conditionalFormatting>
  <conditionalFormatting sqref="S25">
    <cfRule type="expression" dxfId="429" priority="684" stopIfTrue="1">
      <formula>T26=FALSE</formula>
    </cfRule>
  </conditionalFormatting>
  <conditionalFormatting sqref="R26">
    <cfRule type="expression" dxfId="428" priority="683" stopIfTrue="1">
      <formula>T26=FALSE</formula>
    </cfRule>
  </conditionalFormatting>
  <conditionalFormatting sqref="U25">
    <cfRule type="expression" dxfId="427" priority="668" stopIfTrue="1">
      <formula>W26=FALSE</formula>
    </cfRule>
    <cfRule type="expression" dxfId="426" priority="669">
      <formula>AND(AlignmentType=1, U25 = "ã", S23 + MatchScore = V26)</formula>
    </cfRule>
    <cfRule type="expression" dxfId="425" priority="670">
      <formula>AND(AlignmentType=1, U25 = "ã", S23 + MismatchScore = V26)</formula>
    </cfRule>
    <cfRule type="expression" dxfId="424" priority="671">
      <formula>AND(AlignmentType=2, U25 = "ã", S23 + MatchScore = V26)</formula>
    </cfRule>
    <cfRule type="expression" dxfId="423" priority="672">
      <formula>AND(AlignmentType=2, U25 = "ã", S23 + MismatchScore = V26)</formula>
    </cfRule>
    <cfRule type="expression" dxfId="422" priority="673">
      <formula>AND(AlignmentType=3, U25 = "ã", S23 + MatchScore = V26)</formula>
    </cfRule>
    <cfRule type="expression" dxfId="421" priority="676">
      <formula>AND(AlignmentType=3, U25 = "ã", S23 + MismatchScore = V26)</formula>
    </cfRule>
  </conditionalFormatting>
  <conditionalFormatting sqref="V25">
    <cfRule type="expression" dxfId="420" priority="675" stopIfTrue="1">
      <formula>W26=FALSE</formula>
    </cfRule>
  </conditionalFormatting>
  <conditionalFormatting sqref="U26">
    <cfRule type="expression" dxfId="419" priority="674" stopIfTrue="1">
      <formula>W26=FALSE</formula>
    </cfRule>
  </conditionalFormatting>
  <conditionalFormatting sqref="L25">
    <cfRule type="expression" dxfId="418" priority="623" stopIfTrue="1">
      <formula>N26=FALSE</formula>
    </cfRule>
    <cfRule type="expression" dxfId="417" priority="624">
      <formula>AND(AlignmentType=1, L25 = "ã", J23 + MatchScore = M26)</formula>
    </cfRule>
    <cfRule type="expression" dxfId="416" priority="625">
      <formula>AND(AlignmentType=1, L25 = "ã", J23 + MismatchScore = M26)</formula>
    </cfRule>
    <cfRule type="expression" dxfId="415" priority="626">
      <formula>AND(AlignmentType=2, L25 = "ã", J23 + MatchScore = M26)</formula>
    </cfRule>
    <cfRule type="expression" dxfId="414" priority="627">
      <formula>AND(AlignmentType=2, L25 = "ã", J23 + MismatchScore = M26)</formula>
    </cfRule>
    <cfRule type="expression" dxfId="413" priority="628">
      <formula>AND(AlignmentType=3, L25 = "ã", J23 + MatchScore = M26)</formula>
    </cfRule>
    <cfRule type="expression" dxfId="412" priority="631">
      <formula>AND(AlignmentType=3, L25 = "ã", J23 + MismatchScore = M26)</formula>
    </cfRule>
  </conditionalFormatting>
  <conditionalFormatting sqref="M25">
    <cfRule type="expression" dxfId="411" priority="630" stopIfTrue="1">
      <formula>N26=FALSE</formula>
    </cfRule>
  </conditionalFormatting>
  <conditionalFormatting sqref="L26">
    <cfRule type="expression" dxfId="410" priority="629" stopIfTrue="1">
      <formula>N26=FALSE</formula>
    </cfRule>
  </conditionalFormatting>
  <conditionalFormatting sqref="I28">
    <cfRule type="expression" dxfId="409" priority="614" stopIfTrue="1">
      <formula>K29=FALSE</formula>
    </cfRule>
    <cfRule type="expression" dxfId="408" priority="615">
      <formula>AND(AlignmentType=1, I28 = "ã", G26 + MatchScore = J29)</formula>
    </cfRule>
    <cfRule type="expression" dxfId="407" priority="616">
      <formula>AND(AlignmentType=1, I28 = "ã", G26 + MismatchScore = J29)</formula>
    </cfRule>
    <cfRule type="expression" dxfId="406" priority="617">
      <formula>AND(AlignmentType=2, I28 = "ã", G26 + MatchScore = J29)</formula>
    </cfRule>
    <cfRule type="expression" dxfId="405" priority="618">
      <formula>AND(AlignmentType=2, I28 = "ã", G26 + MismatchScore = J29)</formula>
    </cfRule>
    <cfRule type="expression" dxfId="404" priority="619">
      <formula>AND(AlignmentType=3, I28 = "ã", G26 + MatchScore = J29)</formula>
    </cfRule>
    <cfRule type="expression" dxfId="403" priority="622">
      <formula>AND(AlignmentType=3, I28 = "ã", G26 + MismatchScore = J29)</formula>
    </cfRule>
  </conditionalFormatting>
  <conditionalFormatting sqref="J28">
    <cfRule type="expression" dxfId="402" priority="621" stopIfTrue="1">
      <formula>K29=FALSE</formula>
    </cfRule>
  </conditionalFormatting>
  <conditionalFormatting sqref="I29">
    <cfRule type="expression" dxfId="401" priority="620" stopIfTrue="1">
      <formula>K29=FALSE</formula>
    </cfRule>
  </conditionalFormatting>
  <conditionalFormatting sqref="O28">
    <cfRule type="expression" dxfId="400" priority="605" stopIfTrue="1">
      <formula>Q29=FALSE</formula>
    </cfRule>
    <cfRule type="expression" dxfId="399" priority="606">
      <formula>AND(AlignmentType=1, O28 = "ã", M26 + MatchScore = P29)</formula>
    </cfRule>
    <cfRule type="expression" dxfId="398" priority="607">
      <formula>AND(AlignmentType=1, O28 = "ã", M26 + MismatchScore = P29)</formula>
    </cfRule>
    <cfRule type="expression" dxfId="397" priority="608">
      <formula>AND(AlignmentType=2, O28 = "ã", M26 + MatchScore = P29)</formula>
    </cfRule>
    <cfRule type="expression" dxfId="396" priority="609">
      <formula>AND(AlignmentType=2, O28 = "ã", M26 + MismatchScore = P29)</formula>
    </cfRule>
    <cfRule type="expression" dxfId="395" priority="610">
      <formula>AND(AlignmentType=3, O28 = "ã", M26 + MatchScore = P29)</formula>
    </cfRule>
    <cfRule type="expression" dxfId="394" priority="613">
      <formula>AND(AlignmentType=3, O28 = "ã", M26 + MismatchScore = P29)</formula>
    </cfRule>
  </conditionalFormatting>
  <conditionalFormatting sqref="P28">
    <cfRule type="expression" dxfId="393" priority="612" stopIfTrue="1">
      <formula>Q29=FALSE</formula>
    </cfRule>
  </conditionalFormatting>
  <conditionalFormatting sqref="O29">
    <cfRule type="expression" dxfId="392" priority="611" stopIfTrue="1">
      <formula>Q29=FALSE</formula>
    </cfRule>
  </conditionalFormatting>
  <conditionalFormatting sqref="R28">
    <cfRule type="expression" dxfId="391" priority="596" stopIfTrue="1">
      <formula>T29=FALSE</formula>
    </cfRule>
    <cfRule type="expression" dxfId="390" priority="597">
      <formula>AND(AlignmentType=1, R28 = "ã", P26 + MatchScore = S29)</formula>
    </cfRule>
    <cfRule type="expression" dxfId="389" priority="598">
      <formula>AND(AlignmentType=1, R28 = "ã", P26 + MismatchScore = S29)</formula>
    </cfRule>
    <cfRule type="expression" dxfId="388" priority="599">
      <formula>AND(AlignmentType=2, R28 = "ã", P26 + MatchScore = S29)</formula>
    </cfRule>
    <cfRule type="expression" dxfId="387" priority="600">
      <formula>AND(AlignmentType=2, R28 = "ã", P26 + MismatchScore = S29)</formula>
    </cfRule>
    <cfRule type="expression" dxfId="386" priority="601">
      <formula>AND(AlignmentType=3, R28 = "ã", P26 + MatchScore = S29)</formula>
    </cfRule>
    <cfRule type="expression" dxfId="385" priority="604">
      <formula>AND(AlignmentType=3, R28 = "ã", P26 + MismatchScore = S29)</formula>
    </cfRule>
  </conditionalFormatting>
  <conditionalFormatting sqref="S28">
    <cfRule type="expression" dxfId="384" priority="603" stopIfTrue="1">
      <formula>T29=FALSE</formula>
    </cfRule>
  </conditionalFormatting>
  <conditionalFormatting sqref="R29">
    <cfRule type="expression" dxfId="383" priority="602" stopIfTrue="1">
      <formula>T29=FALSE</formula>
    </cfRule>
  </conditionalFormatting>
  <conditionalFormatting sqref="U28">
    <cfRule type="expression" dxfId="382" priority="587" stopIfTrue="1">
      <formula>W29=FALSE</formula>
    </cfRule>
    <cfRule type="expression" dxfId="381" priority="588">
      <formula>AND(AlignmentType=1, U28 = "ã", S26 + MatchScore = V29)</formula>
    </cfRule>
    <cfRule type="expression" dxfId="380" priority="589">
      <formula>AND(AlignmentType=1, U28 = "ã", S26 + MismatchScore = V29)</formula>
    </cfRule>
    <cfRule type="expression" dxfId="379" priority="590">
      <formula>AND(AlignmentType=2, U28 = "ã", S26 + MatchScore = V29)</formula>
    </cfRule>
    <cfRule type="expression" dxfId="378" priority="591">
      <formula>AND(AlignmentType=2, U28 = "ã", S26 + MismatchScore = V29)</formula>
    </cfRule>
    <cfRule type="expression" dxfId="377" priority="592">
      <formula>AND(AlignmentType=3, U28 = "ã", S26 + MatchScore = V29)</formula>
    </cfRule>
    <cfRule type="expression" dxfId="376" priority="595">
      <formula>AND(AlignmentType=3, U28 = "ã", S26 + MismatchScore = V29)</formula>
    </cfRule>
  </conditionalFormatting>
  <conditionalFormatting sqref="V28">
    <cfRule type="expression" dxfId="375" priority="594" stopIfTrue="1">
      <formula>W29=FALSE</formula>
    </cfRule>
  </conditionalFormatting>
  <conditionalFormatting sqref="U29">
    <cfRule type="expression" dxfId="374" priority="593" stopIfTrue="1">
      <formula>W29=FALSE</formula>
    </cfRule>
  </conditionalFormatting>
  <conditionalFormatting sqref="X28">
    <cfRule type="expression" dxfId="373" priority="578" stopIfTrue="1">
      <formula>Z29=FALSE</formula>
    </cfRule>
    <cfRule type="expression" dxfId="372" priority="579">
      <formula>AND(AlignmentType=1, X28 = "ã", V26 + MatchScore = Y29)</formula>
    </cfRule>
    <cfRule type="expression" dxfId="371" priority="580">
      <formula>AND(AlignmentType=1, X28 = "ã", V26 + MismatchScore = Y29)</formula>
    </cfRule>
    <cfRule type="expression" dxfId="370" priority="581">
      <formula>AND(AlignmentType=2, X28 = "ã", V26 + MatchScore = Y29)</formula>
    </cfRule>
    <cfRule type="expression" dxfId="369" priority="582">
      <formula>AND(AlignmentType=2, X28 = "ã", V26 + MismatchScore = Y29)</formula>
    </cfRule>
    <cfRule type="expression" dxfId="368" priority="583">
      <formula>AND(AlignmentType=3, X28 = "ã", V26 + MatchScore = Y29)</formula>
    </cfRule>
    <cfRule type="expression" dxfId="367" priority="586">
      <formula>AND(AlignmentType=3, X28 = "ã", V26 + MismatchScore = Y29)</formula>
    </cfRule>
  </conditionalFormatting>
  <conditionalFormatting sqref="Y28">
    <cfRule type="expression" dxfId="366" priority="585" stopIfTrue="1">
      <formula>Z29=FALSE</formula>
    </cfRule>
  </conditionalFormatting>
  <conditionalFormatting sqref="X29">
    <cfRule type="expression" dxfId="365" priority="584" stopIfTrue="1">
      <formula>Z29=FALSE</formula>
    </cfRule>
  </conditionalFormatting>
  <conditionalFormatting sqref="L28">
    <cfRule type="expression" dxfId="364" priority="542" stopIfTrue="1">
      <formula>N29=FALSE</formula>
    </cfRule>
    <cfRule type="expression" dxfId="363" priority="543">
      <formula>AND(AlignmentType=1, L28 = "ã", J26 + MatchScore = M29)</formula>
    </cfRule>
    <cfRule type="expression" dxfId="362" priority="544">
      <formula>AND(AlignmentType=1, L28 = "ã", J26 + MismatchScore = M29)</formula>
    </cfRule>
    <cfRule type="expression" dxfId="361" priority="545">
      <formula>AND(AlignmentType=2, L28 = "ã", J26 + MatchScore = M29)</formula>
    </cfRule>
    <cfRule type="expression" dxfId="360" priority="546">
      <formula>AND(AlignmentType=2, L28 = "ã", J26 + MismatchScore = M29)</formula>
    </cfRule>
    <cfRule type="expression" dxfId="359" priority="547">
      <formula>AND(AlignmentType=3, L28 = "ã", J26 + MatchScore = M29)</formula>
    </cfRule>
    <cfRule type="expression" dxfId="358" priority="550">
      <formula>AND(AlignmentType=3, L28 = "ã", J26 + MismatchScore = M29)</formula>
    </cfRule>
  </conditionalFormatting>
  <conditionalFormatting sqref="M28">
    <cfRule type="expression" dxfId="357" priority="549" stopIfTrue="1">
      <formula>N29=FALSE</formula>
    </cfRule>
  </conditionalFormatting>
  <conditionalFormatting sqref="L29">
    <cfRule type="expression" dxfId="356" priority="548" stopIfTrue="1">
      <formula>N29=FALSE</formula>
    </cfRule>
  </conditionalFormatting>
  <conditionalFormatting sqref="A31">
    <cfRule type="expression" dxfId="355" priority="541">
      <formula>NumberOfOptimalAlignments&gt;1</formula>
    </cfRule>
  </conditionalFormatting>
  <conditionalFormatting sqref="AA25">
    <cfRule type="expression" dxfId="354" priority="514" stopIfTrue="1">
      <formula>AC26=FALSE</formula>
    </cfRule>
    <cfRule type="expression" dxfId="353" priority="515">
      <formula>AND(AlignmentType=1, AA25 = "ã", Y23 + MatchScore = AB26)</formula>
    </cfRule>
    <cfRule type="expression" dxfId="352" priority="516">
      <formula>AND(AlignmentType=1, AA25 = "ã", Y23 + MismatchScore = AB26)</formula>
    </cfRule>
    <cfRule type="expression" dxfId="351" priority="517">
      <formula>AND(AlignmentType=2, AA25 = "ã", Y23 + MatchScore = AB26)</formula>
    </cfRule>
    <cfRule type="expression" dxfId="350" priority="518">
      <formula>AND(AlignmentType=2, AA25 = "ã", Y23 + MismatchScore = AB26)</formula>
    </cfRule>
    <cfRule type="expression" dxfId="349" priority="519">
      <formula>AND(AlignmentType=3, AA25 = "ã", Y23 + MatchScore = AB26)</formula>
    </cfRule>
    <cfRule type="expression" dxfId="348" priority="522">
      <formula>AND(AlignmentType=3, AA25 = "ã", Y23 + MismatchScore = AB26)</formula>
    </cfRule>
  </conditionalFormatting>
  <conditionalFormatting sqref="AB25">
    <cfRule type="expression" dxfId="347" priority="521" stopIfTrue="1">
      <formula>AC26=FALSE</formula>
    </cfRule>
  </conditionalFormatting>
  <conditionalFormatting sqref="AA26">
    <cfRule type="expression" dxfId="346" priority="520" stopIfTrue="1">
      <formula>AC26=FALSE</formula>
    </cfRule>
  </conditionalFormatting>
  <conditionalFormatting sqref="U16">
    <cfRule type="expression" dxfId="345" priority="424" stopIfTrue="1">
      <formula>W17=FALSE</formula>
    </cfRule>
    <cfRule type="expression" dxfId="344" priority="425">
      <formula>AND(AlignmentType=1, U16 = "ã", S14 + MatchScore = V17)</formula>
    </cfRule>
    <cfRule type="expression" dxfId="343" priority="426">
      <formula>AND(AlignmentType=1, U16 = "ã", S14 + MismatchScore = V17)</formula>
    </cfRule>
    <cfRule type="expression" dxfId="342" priority="427">
      <formula>AND(AlignmentType=2, U16 = "ã", S14 + MatchScore = V17)</formula>
    </cfRule>
    <cfRule type="expression" dxfId="341" priority="428">
      <formula>AND(AlignmentType=2, U16 = "ã", S14 + MismatchScore = V17)</formula>
    </cfRule>
    <cfRule type="expression" dxfId="340" priority="429">
      <formula>AND(AlignmentType=3, U16 = "ã", S14 + MatchScore = V17)</formula>
    </cfRule>
    <cfRule type="expression" dxfId="339" priority="432">
      <formula>AND(AlignmentType=3, U16 = "ã", S14 + MismatchScore = V17)</formula>
    </cfRule>
  </conditionalFormatting>
  <conditionalFormatting sqref="V16">
    <cfRule type="expression" dxfId="338" priority="431" stopIfTrue="1">
      <formula>W17=FALSE</formula>
    </cfRule>
  </conditionalFormatting>
  <conditionalFormatting sqref="U17">
    <cfRule type="expression" dxfId="337" priority="430" stopIfTrue="1">
      <formula>W17=FALSE</formula>
    </cfRule>
  </conditionalFormatting>
  <conditionalFormatting sqref="R13">
    <cfRule type="expression" dxfId="336" priority="415" stopIfTrue="1">
      <formula>T14=FALSE</formula>
    </cfRule>
    <cfRule type="expression" dxfId="335" priority="416">
      <formula>AND(AlignmentType=1, R13 = "ã", P11 + MatchScore = S14)</formula>
    </cfRule>
    <cfRule type="expression" dxfId="334" priority="417">
      <formula>AND(AlignmentType=1, R13 = "ã", P11 + MismatchScore = S14)</formula>
    </cfRule>
    <cfRule type="expression" dxfId="333" priority="418">
      <formula>AND(AlignmentType=2, R13 = "ã", P11 + MatchScore = S14)</formula>
    </cfRule>
    <cfRule type="expression" dxfId="332" priority="419">
      <formula>AND(AlignmentType=2, R13 = "ã", P11 + MismatchScore = S14)</formula>
    </cfRule>
    <cfRule type="expression" dxfId="331" priority="420">
      <formula>AND(AlignmentType=3, R13 = "ã", P11 + MatchScore = S14)</formula>
    </cfRule>
    <cfRule type="expression" dxfId="330" priority="423">
      <formula>AND(AlignmentType=3, R13 = "ã", P11 + MismatchScore = S14)</formula>
    </cfRule>
  </conditionalFormatting>
  <conditionalFormatting sqref="S13">
    <cfRule type="expression" dxfId="329" priority="422" stopIfTrue="1">
      <formula>T14=FALSE</formula>
    </cfRule>
  </conditionalFormatting>
  <conditionalFormatting sqref="R14">
    <cfRule type="expression" dxfId="328" priority="421" stopIfTrue="1">
      <formula>T14=FALSE</formula>
    </cfRule>
  </conditionalFormatting>
  <conditionalFormatting sqref="O10">
    <cfRule type="expression" dxfId="327" priority="406" stopIfTrue="1">
      <formula>Q11=FALSE</formula>
    </cfRule>
    <cfRule type="expression" dxfId="326" priority="407">
      <formula>AND(AlignmentType=1, O10 = "ã", M8 + MatchScore = P11)</formula>
    </cfRule>
    <cfRule type="expression" dxfId="325" priority="408">
      <formula>AND(AlignmentType=1, O10 = "ã", M8 + MismatchScore = P11)</formula>
    </cfRule>
    <cfRule type="expression" dxfId="324" priority="409">
      <formula>AND(AlignmentType=2, O10 = "ã", M8 + MatchScore = P11)</formula>
    </cfRule>
    <cfRule type="expression" dxfId="323" priority="410">
      <formula>AND(AlignmentType=2, O10 = "ã", M8 + MismatchScore = P11)</formula>
    </cfRule>
    <cfRule type="expression" dxfId="322" priority="411">
      <formula>AND(AlignmentType=3, O10 = "ã", M8 + MatchScore = P11)</formula>
    </cfRule>
    <cfRule type="expression" dxfId="321" priority="414">
      <formula>AND(AlignmentType=3, O10 = "ã", M8 + MismatchScore = P11)</formula>
    </cfRule>
  </conditionalFormatting>
  <conditionalFormatting sqref="P10">
    <cfRule type="expression" dxfId="320" priority="413" stopIfTrue="1">
      <formula>Q11=FALSE</formula>
    </cfRule>
  </conditionalFormatting>
  <conditionalFormatting sqref="O11">
    <cfRule type="expression" dxfId="319" priority="412" stopIfTrue="1">
      <formula>Q11=FALSE</formula>
    </cfRule>
  </conditionalFormatting>
  <conditionalFormatting sqref="AD25">
    <cfRule type="expression" dxfId="318" priority="352" stopIfTrue="1">
      <formula>AF26=FALSE</formula>
    </cfRule>
    <cfRule type="expression" dxfId="317" priority="353">
      <formula>AND(AlignmentType=1, AD25 = "ã", AB23 + MatchScore = AE26)</formula>
    </cfRule>
    <cfRule type="expression" dxfId="316" priority="354">
      <formula>AND(AlignmentType=1, AD25 = "ã", AB23 + MismatchScore = AE26)</formula>
    </cfRule>
    <cfRule type="expression" dxfId="315" priority="355">
      <formula>AND(AlignmentType=2, AD25 = "ã", AB23 + MatchScore = AE26)</formula>
    </cfRule>
    <cfRule type="expression" dxfId="314" priority="356">
      <formula>AND(AlignmentType=2, AD25 = "ã", AB23 + MismatchScore = AE26)</formula>
    </cfRule>
    <cfRule type="expression" dxfId="313" priority="357">
      <formula>AND(AlignmentType=3, AD25 = "ã", AB23 + MatchScore = AE26)</formula>
    </cfRule>
    <cfRule type="expression" dxfId="312" priority="360">
      <formula>AND(AlignmentType=3, AD25 = "ã", AB23 + MismatchScore = AE26)</formula>
    </cfRule>
  </conditionalFormatting>
  <conditionalFormatting sqref="AE25">
    <cfRule type="expression" dxfId="311" priority="359" stopIfTrue="1">
      <formula>AF26=FALSE</formula>
    </cfRule>
  </conditionalFormatting>
  <conditionalFormatting sqref="AD26">
    <cfRule type="expression" dxfId="310" priority="358" stopIfTrue="1">
      <formula>AF26=FALSE</formula>
    </cfRule>
  </conditionalFormatting>
  <conditionalFormatting sqref="AA22">
    <cfRule type="expression" dxfId="309" priority="343" stopIfTrue="1">
      <formula>AC23=FALSE</formula>
    </cfRule>
    <cfRule type="expression" dxfId="308" priority="344">
      <formula>AND(AlignmentType=1, AA22 = "ã", Y20 + MatchScore = AB23)</formula>
    </cfRule>
    <cfRule type="expression" dxfId="307" priority="345">
      <formula>AND(AlignmentType=1, AA22 = "ã", Y20 + MismatchScore = AB23)</formula>
    </cfRule>
    <cfRule type="expression" dxfId="306" priority="346">
      <formula>AND(AlignmentType=2, AA22 = "ã", Y20 + MatchScore = AB23)</formula>
    </cfRule>
    <cfRule type="expression" dxfId="305" priority="347">
      <formula>AND(AlignmentType=2, AA22 = "ã", Y20 + MismatchScore = AB23)</formula>
    </cfRule>
    <cfRule type="expression" dxfId="304" priority="348">
      <formula>AND(AlignmentType=3, AA22 = "ã", Y20 + MatchScore = AB23)</formula>
    </cfRule>
    <cfRule type="expression" dxfId="303" priority="351">
      <formula>AND(AlignmentType=3, AA22 = "ã", Y20 + MismatchScore = AB23)</formula>
    </cfRule>
  </conditionalFormatting>
  <conditionalFormatting sqref="AB22">
    <cfRule type="expression" dxfId="302" priority="350" stopIfTrue="1">
      <formula>AC23=FALSE</formula>
    </cfRule>
  </conditionalFormatting>
  <conditionalFormatting sqref="AA23">
    <cfRule type="expression" dxfId="301" priority="349" stopIfTrue="1">
      <formula>AC23=FALSE</formula>
    </cfRule>
  </conditionalFormatting>
  <conditionalFormatting sqref="L10">
    <cfRule type="expression" dxfId="300" priority="298" stopIfTrue="1">
      <formula>N11=FALSE</formula>
    </cfRule>
    <cfRule type="expression" dxfId="299" priority="299">
      <formula>AND(AlignmentType=1, L10 = "ã", J8 + MatchScore = M11)</formula>
    </cfRule>
    <cfRule type="expression" dxfId="298" priority="300">
      <formula>AND(AlignmentType=1, L10 = "ã", J8 + MismatchScore = M11)</formula>
    </cfRule>
    <cfRule type="expression" dxfId="297" priority="301">
      <formula>AND(AlignmentType=2, L10 = "ã", J8 + MatchScore = M11)</formula>
    </cfRule>
    <cfRule type="expression" dxfId="296" priority="302">
      <formula>AND(AlignmentType=2, L10 = "ã", J8 + MismatchScore = M11)</formula>
    </cfRule>
    <cfRule type="expression" dxfId="295" priority="303">
      <formula>AND(AlignmentType=3, L10 = "ã", J8 + MatchScore = M11)</formula>
    </cfRule>
    <cfRule type="expression" dxfId="294" priority="306">
      <formula>AND(AlignmentType=3, L10 = "ã", J8 + MismatchScore = M11)</formula>
    </cfRule>
  </conditionalFormatting>
  <conditionalFormatting sqref="M10">
    <cfRule type="expression" dxfId="293" priority="305" stopIfTrue="1">
      <formula>N11=FALSE</formula>
    </cfRule>
  </conditionalFormatting>
  <conditionalFormatting sqref="L11">
    <cfRule type="expression" dxfId="292" priority="304" stopIfTrue="1">
      <formula>N11=FALSE</formula>
    </cfRule>
  </conditionalFormatting>
  <conditionalFormatting sqref="R16">
    <cfRule type="expression" dxfId="291" priority="145" stopIfTrue="1">
      <formula>T17=FALSE</formula>
    </cfRule>
    <cfRule type="expression" dxfId="290" priority="146">
      <formula>AND(AlignmentType=1, R16 = "ã", P14 + MatchScore = S17)</formula>
    </cfRule>
    <cfRule type="expression" dxfId="289" priority="147">
      <formula>AND(AlignmentType=1, R16 = "ã", P14 + MismatchScore = S17)</formula>
    </cfRule>
    <cfRule type="expression" dxfId="288" priority="148">
      <formula>AND(AlignmentType=2, R16 = "ã", P14 + MatchScore = S17)</formula>
    </cfRule>
    <cfRule type="expression" dxfId="287" priority="149">
      <formula>AND(AlignmentType=2, R16 = "ã", P14 + MismatchScore = S17)</formula>
    </cfRule>
    <cfRule type="expression" dxfId="286" priority="150">
      <formula>AND(AlignmentType=3, R16 = "ã", P14 + MatchScore = S17)</formula>
    </cfRule>
    <cfRule type="expression" dxfId="285" priority="153">
      <formula>AND(AlignmentType=3, R16 = "ã", P14 + MismatchScore = S17)</formula>
    </cfRule>
  </conditionalFormatting>
  <conditionalFormatting sqref="S16">
    <cfRule type="expression" dxfId="284" priority="152" stopIfTrue="1">
      <formula>T17=FALSE</formula>
    </cfRule>
  </conditionalFormatting>
  <conditionalFormatting sqref="R17">
    <cfRule type="expression" dxfId="283" priority="151" stopIfTrue="1">
      <formula>T17=FALSE</formula>
    </cfRule>
  </conditionalFormatting>
  <conditionalFormatting sqref="X19">
    <cfRule type="expression" dxfId="282" priority="217" stopIfTrue="1">
      <formula>Z20=FALSE</formula>
    </cfRule>
    <cfRule type="expression" dxfId="281" priority="218">
      <formula>AND(AlignmentType=1, X19 = "ã", V17 + MatchScore = Y20)</formula>
    </cfRule>
    <cfRule type="expression" dxfId="280" priority="219">
      <formula>AND(AlignmentType=1, X19 = "ã", V17 + MismatchScore = Y20)</formula>
    </cfRule>
    <cfRule type="expression" dxfId="279" priority="220">
      <formula>AND(AlignmentType=2, X19 = "ã", V17 + MatchScore = Y20)</formula>
    </cfRule>
    <cfRule type="expression" dxfId="278" priority="221">
      <formula>AND(AlignmentType=2, X19 = "ã", V17 + MismatchScore = Y20)</formula>
    </cfRule>
    <cfRule type="expression" dxfId="277" priority="222">
      <formula>AND(AlignmentType=3, X19 = "ã", V17 + MatchScore = Y20)</formula>
    </cfRule>
    <cfRule type="expression" dxfId="276" priority="225">
      <formula>AND(AlignmentType=3, X19 = "ã", V17 + MismatchScore = Y20)</formula>
    </cfRule>
  </conditionalFormatting>
  <conditionalFormatting sqref="Y19">
    <cfRule type="expression" dxfId="275" priority="224" stopIfTrue="1">
      <formula>Z20=FALSE</formula>
    </cfRule>
  </conditionalFormatting>
  <conditionalFormatting sqref="X20">
    <cfRule type="expression" dxfId="274" priority="223" stopIfTrue="1">
      <formula>Z20=FALSE</formula>
    </cfRule>
  </conditionalFormatting>
  <conditionalFormatting sqref="AA19">
    <cfRule type="expression" dxfId="273" priority="208" stopIfTrue="1">
      <formula>AC20=FALSE</formula>
    </cfRule>
    <cfRule type="expression" dxfId="272" priority="209">
      <formula>AND(AlignmentType=1, AA19 = "ã", Y17 + MatchScore = AB20)</formula>
    </cfRule>
    <cfRule type="expression" dxfId="271" priority="210">
      <formula>AND(AlignmentType=1, AA19 = "ã", Y17 + MismatchScore = AB20)</formula>
    </cfRule>
    <cfRule type="expression" dxfId="270" priority="211">
      <formula>AND(AlignmentType=2, AA19 = "ã", Y17 + MatchScore = AB20)</formula>
    </cfRule>
    <cfRule type="expression" dxfId="269" priority="212">
      <formula>AND(AlignmentType=2, AA19 = "ã", Y17 + MismatchScore = AB20)</formula>
    </cfRule>
    <cfRule type="expression" dxfId="268" priority="213">
      <formula>AND(AlignmentType=3, AA19 = "ã", Y17 + MatchScore = AB20)</formula>
    </cfRule>
    <cfRule type="expression" dxfId="267" priority="216">
      <formula>AND(AlignmentType=3, AA19 = "ã", Y17 + MismatchScore = AB20)</formula>
    </cfRule>
  </conditionalFormatting>
  <conditionalFormatting sqref="AB19">
    <cfRule type="expression" dxfId="266" priority="215" stopIfTrue="1">
      <formula>AC20=FALSE</formula>
    </cfRule>
  </conditionalFormatting>
  <conditionalFormatting sqref="AA20">
    <cfRule type="expression" dxfId="265" priority="214" stopIfTrue="1">
      <formula>AC20=FALSE</formula>
    </cfRule>
  </conditionalFormatting>
  <conditionalFormatting sqref="AD22">
    <cfRule type="expression" dxfId="264" priority="199" stopIfTrue="1">
      <formula>AF23=FALSE</formula>
    </cfRule>
    <cfRule type="expression" dxfId="263" priority="200">
      <formula>AND(AlignmentType=1, AD22 = "ã", AB20 + MatchScore = AE23)</formula>
    </cfRule>
    <cfRule type="expression" dxfId="262" priority="201">
      <formula>AND(AlignmentType=1, AD22 = "ã", AB20 + MismatchScore = AE23)</formula>
    </cfRule>
    <cfRule type="expression" dxfId="261" priority="202">
      <formula>AND(AlignmentType=2, AD22 = "ã", AB20 + MatchScore = AE23)</formula>
    </cfRule>
    <cfRule type="expression" dxfId="260" priority="203">
      <formula>AND(AlignmentType=2, AD22 = "ã", AB20 + MismatchScore = AE23)</formula>
    </cfRule>
    <cfRule type="expression" dxfId="259" priority="204">
      <formula>AND(AlignmentType=3, AD22 = "ã", AB20 + MatchScore = AE23)</formula>
    </cfRule>
    <cfRule type="expression" dxfId="258" priority="207">
      <formula>AND(AlignmentType=3, AD22 = "ã", AB20 + MismatchScore = AE23)</formula>
    </cfRule>
  </conditionalFormatting>
  <conditionalFormatting sqref="AE22">
    <cfRule type="expression" dxfId="257" priority="206" stopIfTrue="1">
      <formula>AF23=FALSE</formula>
    </cfRule>
  </conditionalFormatting>
  <conditionalFormatting sqref="AD23">
    <cfRule type="expression" dxfId="256" priority="205" stopIfTrue="1">
      <formula>AF23=FALSE</formula>
    </cfRule>
  </conditionalFormatting>
  <conditionalFormatting sqref="AG25">
    <cfRule type="expression" dxfId="255" priority="190" stopIfTrue="1">
      <formula>AI26=FALSE</formula>
    </cfRule>
    <cfRule type="expression" dxfId="254" priority="191">
      <formula>AND(AlignmentType=1, AG25 = "ã", AE23 + MatchScore = AH26)</formula>
    </cfRule>
    <cfRule type="expression" dxfId="253" priority="192">
      <formula>AND(AlignmentType=1, AG25 = "ã", AE23 + MismatchScore = AH26)</formula>
    </cfRule>
    <cfRule type="expression" dxfId="252" priority="193">
      <formula>AND(AlignmentType=2, AG25 = "ã", AE23 + MatchScore = AH26)</formula>
    </cfRule>
    <cfRule type="expression" dxfId="251" priority="194">
      <formula>AND(AlignmentType=2, AG25 = "ã", AE23 + MismatchScore = AH26)</formula>
    </cfRule>
    <cfRule type="expression" dxfId="250" priority="195">
      <formula>AND(AlignmentType=3, AG25 = "ã", AE23 + MatchScore = AH26)</formula>
    </cfRule>
    <cfRule type="expression" dxfId="249" priority="198">
      <formula>AND(AlignmentType=3, AG25 = "ã", AE23 + MismatchScore = AH26)</formula>
    </cfRule>
  </conditionalFormatting>
  <conditionalFormatting sqref="AH25">
    <cfRule type="expression" dxfId="248" priority="197" stopIfTrue="1">
      <formula>AI26=FALSE</formula>
    </cfRule>
  </conditionalFormatting>
  <conditionalFormatting sqref="AG26">
    <cfRule type="expression" dxfId="247" priority="196" stopIfTrue="1">
      <formula>AI26=FALSE</formula>
    </cfRule>
  </conditionalFormatting>
  <conditionalFormatting sqref="AG28">
    <cfRule type="expression" dxfId="246" priority="181" stopIfTrue="1">
      <formula>AI29=FALSE</formula>
    </cfRule>
    <cfRule type="expression" dxfId="245" priority="182">
      <formula>AND(AlignmentType=1, AG28 = "ã", AE26 + MatchScore = AH29)</formula>
    </cfRule>
    <cfRule type="expression" dxfId="244" priority="183">
      <formula>AND(AlignmentType=1, AG28 = "ã", AE26 + MismatchScore = AH29)</formula>
    </cfRule>
    <cfRule type="expression" dxfId="243" priority="184">
      <formula>AND(AlignmentType=2, AG28 = "ã", AE26 + MatchScore = AH29)</formula>
    </cfRule>
    <cfRule type="expression" dxfId="242" priority="185">
      <formula>AND(AlignmentType=2, AG28 = "ã", AE26 + MismatchScore = AH29)</formula>
    </cfRule>
    <cfRule type="expression" dxfId="241" priority="186">
      <formula>AND(AlignmentType=3, AG28 = "ã", AE26 + MatchScore = AH29)</formula>
    </cfRule>
    <cfRule type="expression" dxfId="240" priority="189">
      <formula>AND(AlignmentType=3, AG28 = "ã", AE26 + MismatchScore = AH29)</formula>
    </cfRule>
  </conditionalFormatting>
  <conditionalFormatting sqref="AH28">
    <cfRule type="expression" dxfId="239" priority="188" stopIfTrue="1">
      <formula>AI29=FALSE</formula>
    </cfRule>
  </conditionalFormatting>
  <conditionalFormatting sqref="AG29">
    <cfRule type="expression" dxfId="238" priority="187" stopIfTrue="1">
      <formula>AI29=FALSE</formula>
    </cfRule>
  </conditionalFormatting>
  <conditionalFormatting sqref="O13">
    <cfRule type="expression" dxfId="237" priority="154" stopIfTrue="1">
      <formula>Q14=FALSE</formula>
    </cfRule>
    <cfRule type="expression" dxfId="236" priority="155">
      <formula>AND(AlignmentType=1, O13 = "ã", M11 + MatchScore = P14)</formula>
    </cfRule>
    <cfRule type="expression" dxfId="235" priority="156">
      <formula>AND(AlignmentType=1, O13 = "ã", M11 + MismatchScore = P14)</formula>
    </cfRule>
    <cfRule type="expression" dxfId="234" priority="157">
      <formula>AND(AlignmentType=2, O13 = "ã", M11 + MatchScore = P14)</formula>
    </cfRule>
    <cfRule type="expression" dxfId="233" priority="158">
      <formula>AND(AlignmentType=2, O13 = "ã", M11 + MismatchScore = P14)</formula>
    </cfRule>
    <cfRule type="expression" dxfId="232" priority="159">
      <formula>AND(AlignmentType=3, O13 = "ã", M11 + MatchScore = P14)</formula>
    </cfRule>
    <cfRule type="expression" dxfId="231" priority="162">
      <formula>AND(AlignmentType=3, O13 = "ã", M11 + MismatchScore = P14)</formula>
    </cfRule>
  </conditionalFormatting>
  <conditionalFormatting sqref="P13">
    <cfRule type="expression" dxfId="230" priority="161" stopIfTrue="1">
      <formula>Q14=FALSE</formula>
    </cfRule>
  </conditionalFormatting>
  <conditionalFormatting sqref="O14">
    <cfRule type="expression" dxfId="229" priority="160" stopIfTrue="1">
      <formula>Q14=FALSE</formula>
    </cfRule>
  </conditionalFormatting>
  <conditionalFormatting sqref="U22">
    <cfRule type="expression" dxfId="228" priority="118" stopIfTrue="1">
      <formula>W23=FALSE</formula>
    </cfRule>
    <cfRule type="expression" dxfId="227" priority="119">
      <formula>AND(AlignmentType=1, U22 = "ã", S20 + MatchScore = V23)</formula>
    </cfRule>
    <cfRule type="expression" dxfId="226" priority="120">
      <formula>AND(AlignmentType=1, U22 = "ã", S20 + MismatchScore = V23)</formula>
    </cfRule>
    <cfRule type="expression" dxfId="225" priority="121">
      <formula>AND(AlignmentType=2, U22 = "ã", S20 + MatchScore = V23)</formula>
    </cfRule>
    <cfRule type="expression" dxfId="224" priority="122">
      <formula>AND(AlignmentType=2, U22 = "ã", S20 + MismatchScore = V23)</formula>
    </cfRule>
    <cfRule type="expression" dxfId="223" priority="123">
      <formula>AND(AlignmentType=3, U22 = "ã", S20 + MatchScore = V23)</formula>
    </cfRule>
    <cfRule type="expression" dxfId="222" priority="126">
      <formula>AND(AlignmentType=3, U22 = "ã", S20 + MismatchScore = V23)</formula>
    </cfRule>
  </conditionalFormatting>
  <conditionalFormatting sqref="V22">
    <cfRule type="expression" dxfId="221" priority="125" stopIfTrue="1">
      <formula>W23=FALSE</formula>
    </cfRule>
  </conditionalFormatting>
  <conditionalFormatting sqref="U23">
    <cfRule type="expression" dxfId="220" priority="124" stopIfTrue="1">
      <formula>W23=FALSE</formula>
    </cfRule>
  </conditionalFormatting>
  <conditionalFormatting sqref="X22">
    <cfRule type="expression" dxfId="219" priority="109" stopIfTrue="1">
      <formula>Z23=FALSE</formula>
    </cfRule>
    <cfRule type="expression" dxfId="218" priority="110">
      <formula>AND(AlignmentType=1, X22 = "ã", V20 + MatchScore = Y23)</formula>
    </cfRule>
    <cfRule type="expression" dxfId="217" priority="111">
      <formula>AND(AlignmentType=1, X22 = "ã", V20 + MismatchScore = Y23)</formula>
    </cfRule>
    <cfRule type="expression" dxfId="216" priority="112">
      <formula>AND(AlignmentType=2, X22 = "ã", V20 + MatchScore = Y23)</formula>
    </cfRule>
    <cfRule type="expression" dxfId="215" priority="113">
      <formula>AND(AlignmentType=2, X22 = "ã", V20 + MismatchScore = Y23)</formula>
    </cfRule>
    <cfRule type="expression" dxfId="214" priority="114">
      <formula>AND(AlignmentType=3, X22 = "ã", V20 + MatchScore = Y23)</formula>
    </cfRule>
    <cfRule type="expression" dxfId="213" priority="117">
      <formula>AND(AlignmentType=3, X22 = "ã", V20 + MismatchScore = Y23)</formula>
    </cfRule>
  </conditionalFormatting>
  <conditionalFormatting sqref="Y22">
    <cfRule type="expression" dxfId="212" priority="116" stopIfTrue="1">
      <formula>Z23=FALSE</formula>
    </cfRule>
  </conditionalFormatting>
  <conditionalFormatting sqref="X23">
    <cfRule type="expression" dxfId="211" priority="115" stopIfTrue="1">
      <formula>Z23=FALSE</formula>
    </cfRule>
  </conditionalFormatting>
  <conditionalFormatting sqref="X25">
    <cfRule type="expression" dxfId="210" priority="100" stopIfTrue="1">
      <formula>Z26=FALSE</formula>
    </cfRule>
    <cfRule type="expression" dxfId="209" priority="101">
      <formula>AND(AlignmentType=1, X25 = "ã", V23 + MatchScore = Y26)</formula>
    </cfRule>
    <cfRule type="expression" dxfId="208" priority="102">
      <formula>AND(AlignmentType=1, X25 = "ã", V23 + MismatchScore = Y26)</formula>
    </cfRule>
    <cfRule type="expression" dxfId="207" priority="103">
      <formula>AND(AlignmentType=2, X25 = "ã", V23 + MatchScore = Y26)</formula>
    </cfRule>
    <cfRule type="expression" dxfId="206" priority="104">
      <formula>AND(AlignmentType=2, X25 = "ã", V23 + MismatchScore = Y26)</formula>
    </cfRule>
    <cfRule type="expression" dxfId="205" priority="105">
      <formula>AND(AlignmentType=3, X25 = "ã", V23 + MatchScore = Y26)</formula>
    </cfRule>
    <cfRule type="expression" dxfId="204" priority="108">
      <formula>AND(AlignmentType=3, X25 = "ã", V23 + MismatchScore = Y26)</formula>
    </cfRule>
  </conditionalFormatting>
  <conditionalFormatting sqref="Y25">
    <cfRule type="expression" dxfId="203" priority="107" stopIfTrue="1">
      <formula>Z26=FALSE</formula>
    </cfRule>
  </conditionalFormatting>
  <conditionalFormatting sqref="X26">
    <cfRule type="expression" dxfId="202" priority="106" stopIfTrue="1">
      <formula>Z26=FALSE</formula>
    </cfRule>
  </conditionalFormatting>
  <conditionalFormatting sqref="AA28">
    <cfRule type="expression" dxfId="201" priority="91" stopIfTrue="1">
      <formula>AC29=FALSE</formula>
    </cfRule>
    <cfRule type="expression" dxfId="200" priority="92">
      <formula>AND(AlignmentType=1, AA28 = "ã", Y26 + MatchScore = AB29)</formula>
    </cfRule>
    <cfRule type="expression" dxfId="199" priority="93">
      <formula>AND(AlignmentType=1, AA28 = "ã", Y26 + MismatchScore = AB29)</formula>
    </cfRule>
    <cfRule type="expression" dxfId="198" priority="94">
      <formula>AND(AlignmentType=2, AA28 = "ã", Y26 + MatchScore = AB29)</formula>
    </cfRule>
    <cfRule type="expression" dxfId="197" priority="95">
      <formula>AND(AlignmentType=2, AA28 = "ã", Y26 + MismatchScore = AB29)</formula>
    </cfRule>
    <cfRule type="expression" dxfId="196" priority="96">
      <formula>AND(AlignmentType=3, AA28 = "ã", Y26 + MatchScore = AB29)</formula>
    </cfRule>
    <cfRule type="expression" dxfId="195" priority="99">
      <formula>AND(AlignmentType=3, AA28 = "ã", Y26 + MismatchScore = AB29)</formula>
    </cfRule>
  </conditionalFormatting>
  <conditionalFormatting sqref="AB28">
    <cfRule type="expression" dxfId="194" priority="98" stopIfTrue="1">
      <formula>AC29=FALSE</formula>
    </cfRule>
  </conditionalFormatting>
  <conditionalFormatting sqref="AA29">
    <cfRule type="expression" dxfId="193" priority="97" stopIfTrue="1">
      <formula>AC29=FALSE</formula>
    </cfRule>
  </conditionalFormatting>
  <conditionalFormatting sqref="AA4">
    <cfRule type="expression" dxfId="192" priority="46" stopIfTrue="1">
      <formula>AC5=FALSE</formula>
    </cfRule>
    <cfRule type="expression" dxfId="191" priority="47">
      <formula>AND(AlignmentType=1, AA4 = "ã", Y2 + MatchScore = AB5)</formula>
    </cfRule>
    <cfRule type="expression" dxfId="190" priority="48">
      <formula>AND(AlignmentType=1, AA4 = "ã", Y2 + MismatchScore = AB5)</formula>
    </cfRule>
    <cfRule type="expression" dxfId="189" priority="49">
      <formula>AND(AlignmentType=2, AA4 = "ã", Y2 + MatchScore = AB5)</formula>
    </cfRule>
    <cfRule type="expression" dxfId="188" priority="50">
      <formula>AND(AlignmentType=2, AA4 = "ã", Y2 + MismatchScore = AB5)</formula>
    </cfRule>
    <cfRule type="expression" dxfId="187" priority="51">
      <formula>AND(AlignmentType=3, AA4 = "ã", Y2 + MatchScore = AB5)</formula>
    </cfRule>
    <cfRule type="expression" dxfId="186" priority="54">
      <formula>AND(AlignmentType=3, AA4 = "ã", Y2 + MismatchScore = AB5)</formula>
    </cfRule>
  </conditionalFormatting>
  <conditionalFormatting sqref="AB4">
    <cfRule type="expression" dxfId="185" priority="53" stopIfTrue="1">
      <formula>AC5=FALSE</formula>
    </cfRule>
  </conditionalFormatting>
  <conditionalFormatting sqref="AA5">
    <cfRule type="expression" dxfId="184" priority="52" stopIfTrue="1">
      <formula>AC5=FALSE</formula>
    </cfRule>
  </conditionalFormatting>
  <conditionalFormatting sqref="L13">
    <cfRule type="expression" dxfId="183" priority="37" stopIfTrue="1">
      <formula>N14=FALSE</formula>
    </cfRule>
    <cfRule type="expression" dxfId="182" priority="38">
      <formula>AND(AlignmentType=1, L13 = "ã", J11 + MatchScore = M14)</formula>
    </cfRule>
    <cfRule type="expression" dxfId="181" priority="39">
      <formula>AND(AlignmentType=1, L13 = "ã", J11 + MismatchScore = M14)</formula>
    </cfRule>
    <cfRule type="expression" dxfId="180" priority="40">
      <formula>AND(AlignmentType=2, L13 = "ã", J11 + MatchScore = M14)</formula>
    </cfRule>
    <cfRule type="expression" dxfId="179" priority="41">
      <formula>AND(AlignmentType=2, L13 = "ã", J11 + MismatchScore = M14)</formula>
    </cfRule>
    <cfRule type="expression" dxfId="178" priority="42">
      <formula>AND(AlignmentType=3, L13 = "ã", J11 + MatchScore = M14)</formula>
    </cfRule>
    <cfRule type="expression" dxfId="177" priority="45">
      <formula>AND(AlignmentType=3, L13 = "ã", J11 + MismatchScore = M14)</formula>
    </cfRule>
  </conditionalFormatting>
  <conditionalFormatting sqref="M13">
    <cfRule type="expression" dxfId="176" priority="44" stopIfTrue="1">
      <formula>N14=FALSE</formula>
    </cfRule>
  </conditionalFormatting>
  <conditionalFormatting sqref="L14">
    <cfRule type="expression" dxfId="175" priority="43" stopIfTrue="1">
      <formula>N14=FALSE</formula>
    </cfRule>
  </conditionalFormatting>
  <conditionalFormatting sqref="O16">
    <cfRule type="expression" dxfId="174" priority="28" stopIfTrue="1">
      <formula>Q17=FALSE</formula>
    </cfRule>
    <cfRule type="expression" dxfId="173" priority="29">
      <formula>AND(AlignmentType=1, O16 = "ã", M14 + MatchScore = P17)</formula>
    </cfRule>
    <cfRule type="expression" dxfId="172" priority="30">
      <formula>AND(AlignmentType=1, O16 = "ã", M14 + MismatchScore = P17)</formula>
    </cfRule>
    <cfRule type="expression" dxfId="171" priority="31">
      <formula>AND(AlignmentType=2, O16 = "ã", M14 + MatchScore = P17)</formula>
    </cfRule>
    <cfRule type="expression" dxfId="170" priority="32">
      <formula>AND(AlignmentType=2, O16 = "ã", M14 + MismatchScore = P17)</formula>
    </cfRule>
    <cfRule type="expression" dxfId="169" priority="33">
      <formula>AND(AlignmentType=3, O16 = "ã", M14 + MatchScore = P17)</formula>
    </cfRule>
    <cfRule type="expression" dxfId="168" priority="36">
      <formula>AND(AlignmentType=3, O16 = "ã", M14 + MismatchScore = P17)</formula>
    </cfRule>
  </conditionalFormatting>
  <conditionalFormatting sqref="P16">
    <cfRule type="expression" dxfId="167" priority="35" stopIfTrue="1">
      <formula>Q17=FALSE</formula>
    </cfRule>
  </conditionalFormatting>
  <conditionalFormatting sqref="O17">
    <cfRule type="expression" dxfId="166" priority="34" stopIfTrue="1">
      <formula>Q17=FALSE</formula>
    </cfRule>
  </conditionalFormatting>
  <conditionalFormatting sqref="R19">
    <cfRule type="expression" dxfId="165" priority="19" stopIfTrue="1">
      <formula>T20=FALSE</formula>
    </cfRule>
    <cfRule type="expression" dxfId="164" priority="20">
      <formula>AND(AlignmentType=1, R19 = "ã", P17 + MatchScore = S20)</formula>
    </cfRule>
    <cfRule type="expression" dxfId="163" priority="21">
      <formula>AND(AlignmentType=1, R19 = "ã", P17 + MismatchScore = S20)</formula>
    </cfRule>
    <cfRule type="expression" dxfId="162" priority="22">
      <formula>AND(AlignmentType=2, R19 = "ã", P17 + MatchScore = S20)</formula>
    </cfRule>
    <cfRule type="expression" dxfId="161" priority="23">
      <formula>AND(AlignmentType=2, R19 = "ã", P17 + MismatchScore = S20)</formula>
    </cfRule>
    <cfRule type="expression" dxfId="160" priority="24">
      <formula>AND(AlignmentType=3, R19 = "ã", P17 + MatchScore = S20)</formula>
    </cfRule>
    <cfRule type="expression" dxfId="159" priority="27">
      <formula>AND(AlignmentType=3, R19 = "ã", P17 + MismatchScore = S20)</formula>
    </cfRule>
  </conditionalFormatting>
  <conditionalFormatting sqref="S19">
    <cfRule type="expression" dxfId="158" priority="26" stopIfTrue="1">
      <formula>T20=FALSE</formula>
    </cfRule>
  </conditionalFormatting>
  <conditionalFormatting sqref="R20">
    <cfRule type="expression" dxfId="157" priority="25" stopIfTrue="1">
      <formula>T20=FALSE</formula>
    </cfRule>
  </conditionalFormatting>
  <conditionalFormatting sqref="U19">
    <cfRule type="expression" dxfId="156" priority="10" stopIfTrue="1">
      <formula>W20=FALSE</formula>
    </cfRule>
    <cfRule type="expression" dxfId="155" priority="11">
      <formula>AND(AlignmentType=1, U19 = "ã", S17 + MatchScore = V20)</formula>
    </cfRule>
    <cfRule type="expression" dxfId="154" priority="12">
      <formula>AND(AlignmentType=1, U19 = "ã", S17 + MismatchScore = V20)</formula>
    </cfRule>
    <cfRule type="expression" dxfId="153" priority="13">
      <formula>AND(AlignmentType=2, U19 = "ã", S17 + MatchScore = V20)</formula>
    </cfRule>
    <cfRule type="expression" dxfId="152" priority="14">
      <formula>AND(AlignmentType=2, U19 = "ã", S17 + MismatchScore = V20)</formula>
    </cfRule>
    <cfRule type="expression" dxfId="151" priority="15">
      <formula>AND(AlignmentType=3, U19 = "ã", S17 + MatchScore = V20)</formula>
    </cfRule>
    <cfRule type="expression" dxfId="150" priority="18">
      <formula>AND(AlignmentType=3, U19 = "ã", S17 + MismatchScore = V20)</formula>
    </cfRule>
  </conditionalFormatting>
  <conditionalFormatting sqref="V19">
    <cfRule type="expression" dxfId="149" priority="17" stopIfTrue="1">
      <formula>W20=FALSE</formula>
    </cfRule>
  </conditionalFormatting>
  <conditionalFormatting sqref="U20">
    <cfRule type="expression" dxfId="148" priority="16" stopIfTrue="1">
      <formula>W20=FALSE</formula>
    </cfRule>
  </conditionalFormatting>
  <conditionalFormatting sqref="AD28">
    <cfRule type="expression" dxfId="147" priority="1" stopIfTrue="1">
      <formula>AF29=FALSE</formula>
    </cfRule>
    <cfRule type="expression" dxfId="146" priority="2">
      <formula>AND(AlignmentType=1, AD28 = "ã", AB26 + MatchScore = AE29)</formula>
    </cfRule>
    <cfRule type="expression" dxfId="145" priority="3">
      <formula>AND(AlignmentType=1, AD28 = "ã", AB26 + MismatchScore = AE29)</formula>
    </cfRule>
    <cfRule type="expression" dxfId="144" priority="4">
      <formula>AND(AlignmentType=2, AD28 = "ã", AB26 + MatchScore = AE29)</formula>
    </cfRule>
    <cfRule type="expression" dxfId="143" priority="5">
      <formula>AND(AlignmentType=2, AD28 = "ã", AB26 + MismatchScore = AE29)</formula>
    </cfRule>
    <cfRule type="expression" dxfId="142" priority="6">
      <formula>AND(AlignmentType=3, AD28 = "ã", AB26 + MatchScore = AE29)</formula>
    </cfRule>
    <cfRule type="expression" dxfId="141" priority="9">
      <formula>AND(AlignmentType=3, AD28 = "ã", AB26 + MismatchScore = AE29)</formula>
    </cfRule>
  </conditionalFormatting>
  <conditionalFormatting sqref="AE28">
    <cfRule type="expression" dxfId="140" priority="8" stopIfTrue="1">
      <formula>AF29=FALSE</formula>
    </cfRule>
  </conditionalFormatting>
  <conditionalFormatting sqref="AD29">
    <cfRule type="expression" dxfId="139" priority="7" stopIfTrue="1">
      <formula>AF29=FALSE</formula>
    </cfRule>
  </conditionalFormatting>
  <pageMargins left="0.75" right="0.75" top="1" bottom="1" header="0.5" footer="0.5"/>
  <pageSetup paperSize="9" orientation="portrait"/>
  <extLst>
    <ext xmlns:x14="http://schemas.microsoft.com/office/spreadsheetml/2009/9/main" uri="{78C0D931-6437-407d-A8EE-F0AAD7539E65}">
      <x14:conditionalFormattings>
        <x14:conditionalFormatting xmlns:xm="http://schemas.microsoft.com/office/excel/2006/main">
          <x14:cfRule type="expression" priority="4756" id="{FACC0B54-3114-F54C-86E1-E4241FDF998E}">
            <xm:f>AND(LEN(E28)&gt;0, E28&lt;&gt;Solution!H65)</xm:f>
            <x14:dxf>
              <font>
                <b/>
                <i val="0"/>
                <strike val="0"/>
                <color theme="0"/>
              </font>
              <fill>
                <patternFill patternType="solid">
                  <fgColor indexed="64"/>
                  <bgColor rgb="FFFF0000"/>
                </patternFill>
              </fill>
            </x14:dxf>
          </x14:cfRule>
          <xm:sqref>E28:E29</xm:sqref>
        </x14:conditionalFormatting>
        <x14:conditionalFormatting xmlns:xm="http://schemas.microsoft.com/office/excel/2006/main">
          <x14:cfRule type="expression" priority="4753" stopIfTrue="1" id="{FACC0B54-3114-F54C-86E1-E4241FDF998E}">
            <xm:f>AND(LEN(C28)&gt;0, C28&lt;&gt;Calculations!G39)</xm:f>
            <x14:dxf>
              <font>
                <b/>
                <i val="0"/>
                <strike val="0"/>
                <color theme="0"/>
              </font>
              <fill>
                <patternFill patternType="solid">
                  <fgColor indexed="64"/>
                  <bgColor rgb="FFFF0000"/>
                </patternFill>
              </fill>
            </x14:dxf>
          </x14:cfRule>
          <xm:sqref>C28:C29</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12" sqref="C12"/>
    </sheetView>
  </sheetViews>
  <sheetFormatPr baseColWidth="10" defaultRowHeight="12" x14ac:dyDescent="0"/>
  <cols>
    <col min="1" max="1" width="91.5" customWidth="1"/>
  </cols>
  <sheetData>
    <row r="1" spans="1:1" ht="13">
      <c r="A1" s="3" t="s">
        <v>9</v>
      </c>
    </row>
    <row r="2" spans="1:1" ht="39">
      <c r="A2" s="4" t="s">
        <v>10</v>
      </c>
    </row>
    <row r="3" spans="1:1" ht="26">
      <c r="A3" s="5" t="s">
        <v>11</v>
      </c>
    </row>
    <row r="4" spans="1:1" ht="39">
      <c r="A4" s="5" t="s">
        <v>12</v>
      </c>
    </row>
    <row r="5" spans="1:1" ht="13">
      <c r="A5" s="5" t="s">
        <v>13</v>
      </c>
    </row>
    <row r="6" spans="1:1" ht="13">
      <c r="A6" s="6" t="s">
        <v>57</v>
      </c>
    </row>
    <row r="7" spans="1:1" ht="13">
      <c r="A7" s="6" t="s">
        <v>14</v>
      </c>
    </row>
    <row r="8" spans="1:1" ht="13">
      <c r="A8" s="5" t="s">
        <v>15</v>
      </c>
    </row>
    <row r="9" spans="1:1" ht="26">
      <c r="A9" s="5" t="s">
        <v>16</v>
      </c>
    </row>
    <row r="10" spans="1:1" ht="13">
      <c r="A10" s="5"/>
    </row>
    <row r="11" spans="1:1" ht="52">
      <c r="A11" s="7" t="s">
        <v>0</v>
      </c>
    </row>
    <row r="12" spans="1:1" ht="13">
      <c r="A12" s="8"/>
    </row>
    <row r="13" spans="1:1" ht="13">
      <c r="A13" s="8"/>
    </row>
    <row r="14" spans="1:1" ht="13">
      <c r="A14" s="9" t="s">
        <v>1</v>
      </c>
    </row>
    <row r="15" spans="1:1" ht="13">
      <c r="A15" s="4" t="s">
        <v>58</v>
      </c>
    </row>
    <row r="16" spans="1:1" ht="13">
      <c r="A16" s="4" t="s">
        <v>59</v>
      </c>
    </row>
    <row r="17" spans="1:1" ht="13">
      <c r="A17" s="4" t="s">
        <v>60</v>
      </c>
    </row>
    <row r="18" spans="1:1" ht="13">
      <c r="A18" s="4" t="s">
        <v>61</v>
      </c>
    </row>
    <row r="19" spans="1:1" ht="26">
      <c r="A19" s="155" t="s">
        <v>62</v>
      </c>
    </row>
    <row r="20" spans="1:1" ht="13">
      <c r="A20" s="10" t="s">
        <v>2</v>
      </c>
    </row>
  </sheetData>
  <phoneticPr fontId="3"/>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zoomScale="150" zoomScaleNormal="150" zoomScalePageLayoutView="150" workbookViewId="0">
      <selection activeCell="A29" sqref="A29:D30"/>
    </sheetView>
  </sheetViews>
  <sheetFormatPr baseColWidth="10" defaultColWidth="8.83203125" defaultRowHeight="12" x14ac:dyDescent="0"/>
  <cols>
    <col min="1" max="2" width="11.1640625" style="1" customWidth="1"/>
    <col min="3" max="3" width="5" style="1" customWidth="1"/>
    <col min="4" max="4" width="6.1640625" customWidth="1"/>
    <col min="5" max="5" width="9.1640625" customWidth="1"/>
    <col min="6" max="6" width="4.1640625" style="33" customWidth="1"/>
    <col min="7" max="8" width="4.1640625" customWidth="1"/>
    <col min="9" max="9" width="6" style="1" customWidth="1"/>
    <col min="10" max="20" width="4.1640625" style="1" customWidth="1"/>
    <col min="21" max="23" width="4.1640625" customWidth="1"/>
    <col min="24" max="24" width="4.6640625" customWidth="1"/>
    <col min="25" max="32" width="4.1640625" customWidth="1"/>
    <col min="33" max="33" width="7" customWidth="1"/>
    <col min="34" max="34" width="4.6640625" customWidth="1"/>
    <col min="35" max="35" width="8.5" customWidth="1"/>
  </cols>
  <sheetData>
    <row r="1" spans="1:33" ht="17">
      <c r="A1" s="62" t="str">
        <f>CHOOSE(AlignmentType, "Global", "Semiglobal", "Local") &amp; "  Alignment"</f>
        <v>Global  Alignment</v>
      </c>
      <c r="B1" s="11"/>
      <c r="F1" s="1" t="s">
        <v>18</v>
      </c>
      <c r="G1" s="12"/>
      <c r="H1" s="1">
        <f ca="1">MAX(OFFSET(H$4, 0, 0, 3 + 3*SeqB_Length, 1) )</f>
        <v>0</v>
      </c>
      <c r="I1" s="13"/>
      <c r="J1" s="12"/>
      <c r="K1" s="1">
        <f ca="1">MAX(OFFSET(K$4, 0, 0, 3 + 3*SeqB_Length, 1) )</f>
        <v>-2</v>
      </c>
      <c r="L1" s="13"/>
      <c r="M1" s="12"/>
      <c r="N1" s="1">
        <f ca="1">MAX(OFFSET(N$4, 0, 0, 3 + 3*SeqB_Length, 1) )</f>
        <v>-1</v>
      </c>
      <c r="O1" s="13"/>
      <c r="P1" s="12"/>
      <c r="Q1" s="1">
        <f ca="1">MAX(OFFSET(Q$4, 0, 0, 3 + 3*SeqB_Length, 1) )</f>
        <v>4</v>
      </c>
      <c r="R1" s="13"/>
      <c r="S1" s="12"/>
      <c r="T1" s="1">
        <f ca="1">MAX(OFFSET(T$4, 0, 0, 3 + 3*SeqB_Length, 1) )</f>
        <v>2</v>
      </c>
      <c r="U1" s="13"/>
      <c r="V1" s="12"/>
      <c r="W1" s="1">
        <f ca="1">MAX(OFFSET(W$4, 0, 0, 3 + 3*SeqB_Length, 1) )</f>
        <v>7</v>
      </c>
      <c r="X1" s="13"/>
      <c r="Y1" s="12"/>
      <c r="Z1" s="1">
        <f ca="1">MAX(OFFSET(Z$4, 0, 0, 3 + 3*SeqB_Length, 1) )</f>
        <v>12</v>
      </c>
      <c r="AA1" s="13"/>
      <c r="AB1" s="12"/>
      <c r="AC1" s="1">
        <f ca="1">MAX(OFFSET(AC$4, 0, 0, 3 + 3*SeqB_Length, 1) )</f>
        <v>10</v>
      </c>
      <c r="AD1" s="13"/>
      <c r="AE1" s="12"/>
      <c r="AF1" s="1">
        <f ca="1">MAX(OFFSET(AF$4, 0, 0, 3 + 3*SeqB_Length, 1) )</f>
        <v>11</v>
      </c>
      <c r="AG1" s="13"/>
    </row>
    <row r="2" spans="1:33">
      <c r="A2"/>
      <c r="B2"/>
      <c r="F2" s="1"/>
      <c r="G2" s="14" t="s">
        <v>36</v>
      </c>
      <c r="H2" s="15"/>
      <c r="I2" s="16"/>
      <c r="J2" s="152" t="str">
        <f>'Worksheet 1 - Scoring Matrix'!L9</f>
        <v>G</v>
      </c>
      <c r="K2" s="132"/>
      <c r="L2" s="153"/>
      <c r="M2" s="152" t="str">
        <f>'Worksheet 1 - Scoring Matrix'!O9</f>
        <v>A</v>
      </c>
      <c r="N2" s="132"/>
      <c r="O2" s="153"/>
      <c r="P2" s="152" t="str">
        <f>'Worksheet 1 - Scoring Matrix'!R9</f>
        <v>C</v>
      </c>
      <c r="Q2" s="132"/>
      <c r="R2" s="153"/>
      <c r="S2" s="152" t="str">
        <f>'Worksheet 1 - Scoring Matrix'!U9</f>
        <v>G</v>
      </c>
      <c r="T2" s="132"/>
      <c r="U2" s="153"/>
      <c r="V2" s="152" t="str">
        <f>'Worksheet 1 - Scoring Matrix'!X9</f>
        <v>C</v>
      </c>
      <c r="W2" s="132"/>
      <c r="X2" s="153"/>
      <c r="Y2" s="152" t="str">
        <f>'Worksheet 1 - Scoring Matrix'!AA9</f>
        <v>A</v>
      </c>
      <c r="Z2" s="132"/>
      <c r="AA2" s="153"/>
      <c r="AB2" s="152" t="str">
        <f>'Worksheet 1 - Scoring Matrix'!AD9</f>
        <v>G</v>
      </c>
      <c r="AC2" s="132"/>
      <c r="AD2" s="153"/>
      <c r="AE2" s="152" t="str">
        <f>'Worksheet 1 - Scoring Matrix'!AG9</f>
        <v>T</v>
      </c>
      <c r="AF2" s="132"/>
      <c r="AG2" s="153"/>
    </row>
    <row r="3" spans="1:33" s="1" customFormat="1">
      <c r="A3"/>
      <c r="B3"/>
      <c r="E3" s="1" t="s">
        <v>18</v>
      </c>
      <c r="F3" s="1" t="s">
        <v>36</v>
      </c>
      <c r="G3" s="66"/>
      <c r="H3" s="67"/>
      <c r="I3" s="68"/>
      <c r="J3" s="66" t="str">
        <f>""</f>
        <v/>
      </c>
      <c r="K3" s="67" t="str">
        <f>""</f>
        <v/>
      </c>
      <c r="L3" s="68"/>
      <c r="M3" s="66" t="str">
        <f>""</f>
        <v/>
      </c>
      <c r="N3" s="67" t="str">
        <f>""</f>
        <v/>
      </c>
      <c r="O3" s="68"/>
      <c r="P3" s="66" t="str">
        <f>""</f>
        <v/>
      </c>
      <c r="Q3" s="67" t="str">
        <f>""</f>
        <v/>
      </c>
      <c r="R3" s="68"/>
      <c r="S3" s="66" t="str">
        <f>""</f>
        <v/>
      </c>
      <c r="T3" s="67" t="str">
        <f>""</f>
        <v/>
      </c>
      <c r="U3" s="68"/>
      <c r="V3" s="66" t="str">
        <f>""</f>
        <v/>
      </c>
      <c r="W3" s="67" t="str">
        <f>""</f>
        <v/>
      </c>
      <c r="X3" s="68"/>
      <c r="Y3" s="66" t="str">
        <f>""</f>
        <v/>
      </c>
      <c r="Z3" s="67" t="str">
        <f>""</f>
        <v/>
      </c>
      <c r="AA3" s="68"/>
      <c r="AB3" s="66" t="str">
        <f>""</f>
        <v/>
      </c>
      <c r="AC3" s="67" t="str">
        <f>""</f>
        <v/>
      </c>
      <c r="AD3" s="68"/>
      <c r="AE3" s="66" t="str">
        <f>""</f>
        <v/>
      </c>
      <c r="AF3" s="67" t="str">
        <f>""</f>
        <v/>
      </c>
      <c r="AG3" s="24"/>
    </row>
    <row r="4" spans="1:33" s="1" customFormat="1">
      <c r="A4" s="1" t="s">
        <v>3</v>
      </c>
      <c r="B4" s="1">
        <f xml:space="preserve"> MatchScore</f>
        <v>5</v>
      </c>
      <c r="E4" s="1">
        <f ca="1">MAX(OFFSET($H4, 0, 0, 1, 3 + 3*SeqA_Length) )</f>
        <v>0</v>
      </c>
      <c r="G4" s="29"/>
      <c r="H4" s="17">
        <v>0</v>
      </c>
      <c r="I4" s="25"/>
      <c r="J4" s="29">
        <f xml:space="preserve"> IF(AlignmentType=1, H4 + GapScore, 0)</f>
        <v>-6</v>
      </c>
      <c r="K4" s="17">
        <f xml:space="preserve"> IF(AlignmentType=1, H4 + GapScore, 0)</f>
        <v>-6</v>
      </c>
      <c r="L4" s="25"/>
      <c r="M4" s="29">
        <f xml:space="preserve"> IF(AlignmentType=1, K4 + GapScore, 0)</f>
        <v>-12</v>
      </c>
      <c r="N4" s="17">
        <f xml:space="preserve"> IF(AlignmentType=1, K4 + GapScore, 0)</f>
        <v>-12</v>
      </c>
      <c r="O4" s="25"/>
      <c r="P4" s="29">
        <f xml:space="preserve"> IF(AlignmentType=1, N4 + GapScore, 0)</f>
        <v>-18</v>
      </c>
      <c r="Q4" s="17">
        <f xml:space="preserve"> IF(AlignmentType=1, N4 + GapScore, 0)</f>
        <v>-18</v>
      </c>
      <c r="R4" s="25"/>
      <c r="S4" s="29">
        <f xml:space="preserve"> IF(AlignmentType=1, Q4 + GapScore, 0)</f>
        <v>-24</v>
      </c>
      <c r="T4" s="17">
        <f xml:space="preserve"> IF(AlignmentType=1, Q4 + GapScore, 0)</f>
        <v>-24</v>
      </c>
      <c r="U4" s="25"/>
      <c r="V4" s="29">
        <f xml:space="preserve"> IF(AlignmentType=1, T4 + GapScore, 0)</f>
        <v>-30</v>
      </c>
      <c r="W4" s="17">
        <f xml:space="preserve"> IF(AlignmentType=1, T4 + GapScore, 0)</f>
        <v>-30</v>
      </c>
      <c r="X4" s="25"/>
      <c r="Y4" s="29">
        <f xml:space="preserve"> IF(AlignmentType=1, W4 + GapScore, 0)</f>
        <v>-36</v>
      </c>
      <c r="Z4" s="17">
        <f xml:space="preserve"> IF(AlignmentType=1, W4 + GapScore, 0)</f>
        <v>-36</v>
      </c>
      <c r="AA4" s="25"/>
      <c r="AB4" s="29">
        <f xml:space="preserve"> IF(AlignmentType=1, Z4 + GapScore, 0)</f>
        <v>-42</v>
      </c>
      <c r="AC4" s="17">
        <f xml:space="preserve"> IF(AlignmentType=1, Z4 + GapScore, 0)</f>
        <v>-42</v>
      </c>
      <c r="AD4" s="25"/>
      <c r="AE4" s="29">
        <f xml:space="preserve"> IF(AlignmentType=1, AC4 + GapScore, 0)</f>
        <v>-48</v>
      </c>
      <c r="AF4" s="17">
        <f xml:space="preserve"> IF(AlignmentType=1, AC4 + GapScore, 0)</f>
        <v>-48</v>
      </c>
      <c r="AG4" s="25"/>
    </row>
    <row r="5" spans="1:33" s="1" customFormat="1">
      <c r="A5" s="1" t="s">
        <v>4</v>
      </c>
      <c r="B5" s="11">
        <f>MismatchScore</f>
        <v>-2</v>
      </c>
      <c r="G5" s="27"/>
      <c r="H5" s="28"/>
      <c r="I5" s="26" t="b">
        <f ca="1">IF(AND(H4 = TrueAlignmentScore, CHOOSE(AlignmentType, AND(L5="", I8=""), I8="", 3=3) ), TRUE, AND(CHOOSE(AlignmentType, 1=1, ROW()&gt;5, H4&gt;0), OR(AND(K4=J4, L5=TRUE), AND(H7=H6, I8=TRUE), AND(K7=J6, L8=TRUE) )  ) )</f>
        <v>1</v>
      </c>
      <c r="J5" s="27"/>
      <c r="K5" s="28"/>
      <c r="L5" s="26" t="b">
        <f ca="1">IF(AND(K4 = TrueAlignmentScore, CHOOSE(AlignmentType, AND(O5="", L8=""), L8="", 3=3) ), TRUE, AND(CHOOSE(AlignmentType, 1=1, ROW()&gt;5, K4&gt;0), OR(AND(N4=M4, O5=TRUE), AND(K7=K6, L8=TRUE), AND(N7=M6, O8=TRUE) )  ) )</f>
        <v>1</v>
      </c>
      <c r="M5" s="27"/>
      <c r="N5" s="28"/>
      <c r="O5" s="26" t="b">
        <f ca="1">IF(AND(N4 = TrueAlignmentScore, CHOOSE(AlignmentType, AND(R5="", O8=""), O8="", 3=3) ), TRUE, AND(CHOOSE(AlignmentType, 1=1, ROW()&gt;5, N4&gt;0), OR(AND(Q4=P4, R5=TRUE), AND(N7=N6, O8=TRUE), AND(Q7=P6, R8=TRUE) )  ) )</f>
        <v>0</v>
      </c>
      <c r="P5" s="27"/>
      <c r="Q5" s="28"/>
      <c r="R5" s="26" t="b">
        <f ca="1">IF(AND(Q4 = TrueAlignmentScore, CHOOSE(AlignmentType, AND(U5="", R8=""), R8="", 3=3) ), TRUE, AND(CHOOSE(AlignmentType, 1=1, ROW()&gt;5, Q4&gt;0), OR(AND(T4=S4, U5=TRUE), AND(Q7=Q6, R8=TRUE), AND(T7=S6, U8=TRUE) )  ) )</f>
        <v>0</v>
      </c>
      <c r="S5" s="27"/>
      <c r="T5" s="28"/>
      <c r="U5" s="26" t="b">
        <f ca="1">IF(AND(T4 = TrueAlignmentScore, CHOOSE(AlignmentType, AND(X5="", U8=""), U8="", 3=3) ), TRUE, AND(CHOOSE(AlignmentType, 1=1, ROW()&gt;5, T4&gt;0), OR(AND(W4=V4, X5=TRUE), AND(T7=T6, U8=TRUE), AND(W7=V6, X8=TRUE) )  ) )</f>
        <v>0</v>
      </c>
      <c r="V5" s="27"/>
      <c r="W5" s="28"/>
      <c r="X5" s="26" t="b">
        <f ca="1">IF(AND(W4 = TrueAlignmentScore, CHOOSE(AlignmentType, AND(AA5="", X8=""), X8="", 3=3) ), TRUE, AND(CHOOSE(AlignmentType, 1=1, ROW()&gt;5, W4&gt;0), OR(AND(Z4=Y4, AA5=TRUE), AND(W7=W6, X8=TRUE), AND(Z7=Y6, AA8=TRUE) )  ) )</f>
        <v>0</v>
      </c>
      <c r="Y5" s="27"/>
      <c r="Z5" s="28"/>
      <c r="AA5" s="26" t="b">
        <f ca="1">IF(AND(Z4 = TrueAlignmentScore, CHOOSE(AlignmentType, AND(AD5="", AA8=""), AA8="", 3=3) ), TRUE, AND(CHOOSE(AlignmentType, 1=1, ROW()&gt;5, Z4&gt;0), OR(AND(AC4=AB4, AD5=TRUE), AND(Z7=Z6, AA8=TRUE), AND(AC7=AB6, AD8=TRUE) )  ) )</f>
        <v>0</v>
      </c>
      <c r="AB5" s="27"/>
      <c r="AC5" s="28"/>
      <c r="AD5" s="26" t="b">
        <f ca="1">IF(AND(AC4 = TrueAlignmentScore, CHOOSE(AlignmentType, AND(AG5="", AD8=""), AD8="", 3=3) ), TRUE, AND(CHOOSE(AlignmentType, 1=1, ROW()&gt;5, AC4&gt;0), OR(AND(AF4=AE4, AG5=TRUE), AND(AC7=AC6, AD8=TRUE), AND(AF7=AE6, AG8=TRUE) )  ) )</f>
        <v>0</v>
      </c>
      <c r="AE5" s="27"/>
      <c r="AF5" s="28"/>
      <c r="AG5" s="26" t="b">
        <f ca="1">IF(AND(AF4 = TrueAlignmentScore, CHOOSE(AlignmentType, AND(AJ5="", AG8=""), AG8="", 3=3) ), TRUE, AND(CHOOSE(AlignmentType, 1=1, ROW()&gt;5, AF4&gt;0), OR(AND(AI4=AH4, AJ5=TRUE), AND(AF7=AF6, AG8=TRUE), AND(AI7=AH6, AJ8=TRUE) )  ) )</f>
        <v>0</v>
      </c>
    </row>
    <row r="6" spans="1:33" s="1" customFormat="1">
      <c r="A6" s="1" t="s">
        <v>5</v>
      </c>
      <c r="B6" s="11">
        <f>GapScore</f>
        <v>-6</v>
      </c>
      <c r="F6" s="21" t="str">
        <f>'Worksheet 1 - Scoring Matrix'!G13</f>
        <v>A</v>
      </c>
      <c r="G6" s="30" t="str">
        <f>""</f>
        <v/>
      </c>
      <c r="H6" s="31">
        <f>IF(AlignmentType=3, 0, H3 + GapScore)</f>
        <v>-6</v>
      </c>
      <c r="I6" s="24"/>
      <c r="J6" s="30">
        <f>H4+IF(J$2=$F6,MatchScore,MismatchScore)</f>
        <v>-2</v>
      </c>
      <c r="K6" s="31">
        <f>K4+GapScore</f>
        <v>-12</v>
      </c>
      <c r="L6" s="24"/>
      <c r="M6" s="30">
        <f>K4+IF(M$2=$F6,MatchScore,MismatchScore)</f>
        <v>-1</v>
      </c>
      <c r="N6" s="31">
        <f>N4+GapScore</f>
        <v>-18</v>
      </c>
      <c r="O6" s="24"/>
      <c r="P6" s="30">
        <f>N4+IF(P$2=$F6,MatchScore,MismatchScore)</f>
        <v>-14</v>
      </c>
      <c r="Q6" s="31">
        <f>Q4+GapScore</f>
        <v>-24</v>
      </c>
      <c r="R6" s="24"/>
      <c r="S6" s="30">
        <f>Q4+IF(S$2=$F6,MatchScore,MismatchScore)</f>
        <v>-20</v>
      </c>
      <c r="T6" s="31">
        <f>T4+GapScore</f>
        <v>-30</v>
      </c>
      <c r="U6" s="24"/>
      <c r="V6" s="30">
        <f>T4+IF(V$2=$F6,MatchScore,MismatchScore)</f>
        <v>-26</v>
      </c>
      <c r="W6" s="31">
        <f>W4+GapScore</f>
        <v>-36</v>
      </c>
      <c r="X6" s="24"/>
      <c r="Y6" s="30">
        <f>W4+IF(Y$2=$F6,MatchScore,MismatchScore)</f>
        <v>-25</v>
      </c>
      <c r="Z6" s="31">
        <f>Z4+GapScore</f>
        <v>-42</v>
      </c>
      <c r="AA6" s="24"/>
      <c r="AB6" s="30">
        <f>Z4+IF(AB$2=$F6,MatchScore,MismatchScore)</f>
        <v>-38</v>
      </c>
      <c r="AC6" s="31">
        <f>AC4+GapScore</f>
        <v>-48</v>
      </c>
      <c r="AD6" s="24"/>
      <c r="AE6" s="30">
        <f>AC4+IF(AE$2=$F6,MatchScore,MismatchScore)</f>
        <v>-44</v>
      </c>
      <c r="AF6" s="31">
        <f>AF4+GapScore</f>
        <v>-54</v>
      </c>
      <c r="AG6" s="24"/>
    </row>
    <row r="7" spans="1:33" s="1" customFormat="1">
      <c r="A7"/>
      <c r="B7"/>
      <c r="E7" s="1">
        <f ca="1">MAX(OFFSET($H7, 0, 0, 1, 3 + 3*SeqA_Length) )</f>
        <v>-1</v>
      </c>
      <c r="F7" s="22"/>
      <c r="G7" s="29" t="str">
        <f>""</f>
        <v/>
      </c>
      <c r="H7" s="17">
        <f>IF(AlignmentType=3, 0, H4 + GapScore)</f>
        <v>-6</v>
      </c>
      <c r="I7" s="25"/>
      <c r="J7" s="29">
        <f>H7+GapScore</f>
        <v>-12</v>
      </c>
      <c r="K7" s="17">
        <f>IF(AlignmentType = 3, MAX(0,J7,K6,J6), MAX(J7,K6,J6) )</f>
        <v>-2</v>
      </c>
      <c r="L7" s="25"/>
      <c r="M7" s="29">
        <f>K7+GapScore</f>
        <v>-8</v>
      </c>
      <c r="N7" s="17">
        <f>IF(AlignmentType = 3, MAX(0,M7,N6,M6), MAX(M7,N6,M6) )</f>
        <v>-1</v>
      </c>
      <c r="O7" s="25"/>
      <c r="P7" s="29">
        <f>N7+GapScore</f>
        <v>-7</v>
      </c>
      <c r="Q7" s="17">
        <f>IF(AlignmentType = 3, MAX(0,P7,Q6,P6), MAX(P7,Q6,P6) )</f>
        <v>-7</v>
      </c>
      <c r="R7" s="25"/>
      <c r="S7" s="29">
        <f>Q7+GapScore</f>
        <v>-13</v>
      </c>
      <c r="T7" s="17">
        <f>IF(AlignmentType = 3, MAX(0,S7,T6,S6), MAX(S7,T6,S6) )</f>
        <v>-13</v>
      </c>
      <c r="U7" s="25"/>
      <c r="V7" s="29">
        <f>T7+GapScore</f>
        <v>-19</v>
      </c>
      <c r="W7" s="17">
        <f>IF(AlignmentType = 3, MAX(0,V7,W6,V6), MAX(V7,W6,V6) )</f>
        <v>-19</v>
      </c>
      <c r="X7" s="25"/>
      <c r="Y7" s="29">
        <f>W7+GapScore</f>
        <v>-25</v>
      </c>
      <c r="Z7" s="17">
        <f>IF(AlignmentType = 3, MAX(0,Y7,Z6,Y6), MAX(Y7,Z6,Y6) )</f>
        <v>-25</v>
      </c>
      <c r="AA7" s="25"/>
      <c r="AB7" s="29">
        <f>Z7+GapScore</f>
        <v>-31</v>
      </c>
      <c r="AC7" s="17">
        <f>IF(AlignmentType = 3, MAX(0,AB7,AC6,AB6), MAX(AB7,AC6,AB6) )</f>
        <v>-31</v>
      </c>
      <c r="AD7" s="25"/>
      <c r="AE7" s="29">
        <f>AC7+GapScore</f>
        <v>-37</v>
      </c>
      <c r="AF7" s="17">
        <f>IF(AlignmentType = 3, MAX(0,AE7,AF6,AE6), MAX(AE7,AF6,AE6) )</f>
        <v>-37</v>
      </c>
      <c r="AG7" s="25"/>
    </row>
    <row r="8" spans="1:33" s="1" customFormat="1">
      <c r="A8"/>
      <c r="B8"/>
      <c r="F8" s="23"/>
      <c r="G8" s="27"/>
      <c r="H8" s="28"/>
      <c r="I8" s="26" t="b">
        <f ca="1">IF(AND(H7 = TrueAlignmentScore, CHOOSE(AlignmentType, AND(L8="", I11=""), I11="", 3=3) ), TRUE, AND(CHOOSE(AlignmentType, 1=1, ROW()&gt;4, H7&gt;0), OR(AND(K7=J7, L8=TRUE), AND(H10=H9, I11=TRUE), AND(K10=J9, L11=TRUE) )  ) )</f>
        <v>0</v>
      </c>
      <c r="J8" s="27"/>
      <c r="K8" s="28"/>
      <c r="L8" s="26" t="b">
        <f ca="1">IF(AND(K7 = TrueAlignmentScore, CHOOSE(AlignmentType, AND(O8="", L11=""), L11="", 3=3) ), TRUE, AND(CHOOSE(AlignmentType, 1=1, ROW()&gt;4, K7&gt;0), OR(AND(N7=M7, O8=TRUE), AND(K10=K9, L11=TRUE), AND(N10=M9, O11=TRUE) )  ) )</f>
        <v>0</v>
      </c>
      <c r="M8" s="27"/>
      <c r="N8" s="28"/>
      <c r="O8" s="26" t="b">
        <f ca="1">IF(AND(N7 = TrueAlignmentScore, CHOOSE(AlignmentType, AND(R8="", O11=""), O11="", 3=3) ), TRUE, AND(CHOOSE(AlignmentType, 1=1, ROW()&gt;4, N7&gt;0), OR(AND(Q7=P7, R8=TRUE), AND(N10=N9, O11=TRUE), AND(Q10=P9, R11=TRUE) )  ) )</f>
        <v>1</v>
      </c>
      <c r="P8" s="27"/>
      <c r="Q8" s="28"/>
      <c r="R8" s="26" t="b">
        <f ca="1">IF(AND(Q7 = TrueAlignmentScore, CHOOSE(AlignmentType, AND(U8="", R11=""), R11="", 3=3) ), TRUE, AND(CHOOSE(AlignmentType, 1=1, ROW()&gt;4, Q7&gt;0), OR(AND(T7=S7, U8=TRUE), AND(Q10=Q9, R11=TRUE), AND(T10=S9, U11=TRUE) )  ) )</f>
        <v>0</v>
      </c>
      <c r="S8" s="27"/>
      <c r="T8" s="28"/>
      <c r="U8" s="26" t="b">
        <f ca="1">IF(AND(T7 = TrueAlignmentScore, CHOOSE(AlignmentType, AND(X8="", U11=""), U11="", 3=3) ), TRUE, AND(CHOOSE(AlignmentType, 1=1, ROW()&gt;4, T7&gt;0), OR(AND(W7=V7, X8=TRUE), AND(T10=T9, U11=TRUE), AND(W10=V9, X11=TRUE) )  ) )</f>
        <v>0</v>
      </c>
      <c r="V8" s="27"/>
      <c r="W8" s="28"/>
      <c r="X8" s="26" t="b">
        <f ca="1">IF(AND(W7 = TrueAlignmentScore, CHOOSE(AlignmentType, AND(AA8="", X11=""), X11="", 3=3) ), TRUE, AND(CHOOSE(AlignmentType, 1=1, ROW()&gt;4, W7&gt;0), OR(AND(Z7=Y7, AA8=TRUE), AND(W10=W9, X11=TRUE), AND(Z10=Y9, AA11=TRUE) )  ) )</f>
        <v>0</v>
      </c>
      <c r="Y8" s="27"/>
      <c r="Z8" s="28"/>
      <c r="AA8" s="26" t="b">
        <f ca="1">IF(AND(Z7 = TrueAlignmentScore, CHOOSE(AlignmentType, AND(AD8="", AA11=""), AA11="", 3=3) ), TRUE, AND(CHOOSE(AlignmentType, 1=1, ROW()&gt;4, Z7&gt;0), OR(AND(AC7=AB7, AD8=TRUE), AND(Z10=Z9, AA11=TRUE), AND(AC10=AB9, AD11=TRUE) )  ) )</f>
        <v>0</v>
      </c>
      <c r="AB8" s="27"/>
      <c r="AC8" s="28"/>
      <c r="AD8" s="26" t="b">
        <f ca="1">IF(AND(AC7 = TrueAlignmentScore, CHOOSE(AlignmentType, AND(AG8="", AD11=""), AD11="", 3=3) ), TRUE, AND(CHOOSE(AlignmentType, 1=1, ROW()&gt;4, AC7&gt;0), OR(AND(AF7=AE7, AG8=TRUE), AND(AC10=AC9, AD11=TRUE), AND(AF10=AE9, AG11=TRUE) )  ) )</f>
        <v>0</v>
      </c>
      <c r="AE8" s="27"/>
      <c r="AF8" s="28"/>
      <c r="AG8" s="26" t="b">
        <f ca="1">IF(AND(AF7 = TrueAlignmentScore, CHOOSE(AlignmentType, AND(AJ8="", AG11=""), AG11="", 3=3) ), TRUE, AND(CHOOSE(AlignmentType, 1=1, ROW()&gt;4, AF7&gt;0), OR(AND(AI7=AH7, AJ8=TRUE), AND(AF10=AF9, AG11=TRUE), AND(AI10=AH9, AJ11=TRUE) )  ) )</f>
        <v>0</v>
      </c>
    </row>
    <row r="9" spans="1:33" s="1" customFormat="1">
      <c r="A9"/>
      <c r="B9"/>
      <c r="F9" s="21" t="str">
        <f>'Worksheet 1 - Scoring Matrix'!G16</f>
        <v>C</v>
      </c>
      <c r="G9" s="30" t="str">
        <f>""</f>
        <v/>
      </c>
      <c r="H9" s="31">
        <f>IF(AlignmentType=3, 0, H6 + GapScore)</f>
        <v>-12</v>
      </c>
      <c r="I9" s="24"/>
      <c r="J9" s="30">
        <f>H7+IF(J$2=$F9,MatchScore,MismatchScore)</f>
        <v>-8</v>
      </c>
      <c r="K9" s="31">
        <f>K7+GapScore</f>
        <v>-8</v>
      </c>
      <c r="L9" s="24"/>
      <c r="M9" s="30">
        <f>K7+IF(M$2=$F9,MatchScore,MismatchScore)</f>
        <v>-4</v>
      </c>
      <c r="N9" s="31">
        <f>N7+GapScore</f>
        <v>-7</v>
      </c>
      <c r="O9" s="24"/>
      <c r="P9" s="30">
        <f>N7+IF(P$2=$F9,MatchScore,MismatchScore)</f>
        <v>4</v>
      </c>
      <c r="Q9" s="31">
        <f>Q7+GapScore</f>
        <v>-13</v>
      </c>
      <c r="R9" s="24"/>
      <c r="S9" s="30">
        <f>Q7+IF(S$2=$F9,MatchScore,MismatchScore)</f>
        <v>-9</v>
      </c>
      <c r="T9" s="31">
        <f>T7+GapScore</f>
        <v>-19</v>
      </c>
      <c r="U9" s="24"/>
      <c r="V9" s="30">
        <f>T7+IF(V$2=$F9,MatchScore,MismatchScore)</f>
        <v>-8</v>
      </c>
      <c r="W9" s="31">
        <f>W7+GapScore</f>
        <v>-25</v>
      </c>
      <c r="X9" s="24"/>
      <c r="Y9" s="30">
        <f>W7+IF(Y$2=$F9,MatchScore,MismatchScore)</f>
        <v>-21</v>
      </c>
      <c r="Z9" s="31">
        <f>Z7+GapScore</f>
        <v>-31</v>
      </c>
      <c r="AA9" s="24"/>
      <c r="AB9" s="30">
        <f>Z7+IF(AB$2=$F9,MatchScore,MismatchScore)</f>
        <v>-27</v>
      </c>
      <c r="AC9" s="31">
        <f>AC7+GapScore</f>
        <v>-37</v>
      </c>
      <c r="AD9" s="24"/>
      <c r="AE9" s="30">
        <f>AC7+IF(AE$2=$F9,MatchScore,MismatchScore)</f>
        <v>-33</v>
      </c>
      <c r="AF9" s="31">
        <f>AF7+GapScore</f>
        <v>-43</v>
      </c>
      <c r="AG9" s="24"/>
    </row>
    <row r="10" spans="1:33" s="1" customFormat="1">
      <c r="A10"/>
      <c r="B10"/>
      <c r="E10" s="1">
        <f ca="1">MAX(OFFSET($H10, 0, 0, 1, 3 + 3*SeqA_Length) )</f>
        <v>4</v>
      </c>
      <c r="F10" s="22"/>
      <c r="G10" s="29" t="str">
        <f>""</f>
        <v/>
      </c>
      <c r="H10" s="17">
        <f>IF(AlignmentType=3, 0, H7 + GapScore)</f>
        <v>-12</v>
      </c>
      <c r="I10" s="25"/>
      <c r="J10" s="29">
        <f>H10+GapScore</f>
        <v>-18</v>
      </c>
      <c r="K10" s="17">
        <f>IF(AlignmentType = 3, MAX(0,J10,K9,J9), MAX(J10,K9,J9) )</f>
        <v>-8</v>
      </c>
      <c r="L10" s="25"/>
      <c r="M10" s="29">
        <f>K10+GapScore</f>
        <v>-14</v>
      </c>
      <c r="N10" s="17">
        <f>IF(AlignmentType = 3, MAX(0,M10,N9,M9), MAX(M10,N9,M9) )</f>
        <v>-4</v>
      </c>
      <c r="O10" s="25"/>
      <c r="P10" s="29">
        <f>N10+GapScore</f>
        <v>-10</v>
      </c>
      <c r="Q10" s="17">
        <f>IF(AlignmentType = 3, MAX(0,P10,Q9,P9), MAX(P10,Q9,P9) )</f>
        <v>4</v>
      </c>
      <c r="R10" s="25"/>
      <c r="S10" s="29">
        <f>Q10+GapScore</f>
        <v>-2</v>
      </c>
      <c r="T10" s="17">
        <f>IF(AlignmentType = 3, MAX(0,S10,T9,S9), MAX(S10,T9,S9) )</f>
        <v>-2</v>
      </c>
      <c r="U10" s="25"/>
      <c r="V10" s="29">
        <f>T10+GapScore</f>
        <v>-8</v>
      </c>
      <c r="W10" s="17">
        <f>IF(AlignmentType = 3, MAX(0,V10,W9,V9), MAX(V10,W9,V9) )</f>
        <v>-8</v>
      </c>
      <c r="X10" s="25"/>
      <c r="Y10" s="29">
        <f>W10+GapScore</f>
        <v>-14</v>
      </c>
      <c r="Z10" s="17">
        <f>IF(AlignmentType = 3, MAX(0,Y10,Z9,Y9), MAX(Y10,Z9,Y9) )</f>
        <v>-14</v>
      </c>
      <c r="AA10" s="25"/>
      <c r="AB10" s="29">
        <f>Z10+GapScore</f>
        <v>-20</v>
      </c>
      <c r="AC10" s="17">
        <f>IF(AlignmentType = 3, MAX(0,AB10,AC9,AB9), MAX(AB10,AC9,AB9) )</f>
        <v>-20</v>
      </c>
      <c r="AD10" s="25"/>
      <c r="AE10" s="29">
        <f>AC10+GapScore</f>
        <v>-26</v>
      </c>
      <c r="AF10" s="17">
        <f>IF(AlignmentType = 3, MAX(0,AE10,AF9,AE9), MAX(AE10,AF9,AE9) )</f>
        <v>-26</v>
      </c>
      <c r="AG10" s="25"/>
    </row>
    <row r="11" spans="1:33" s="1" customFormat="1">
      <c r="F11" s="23"/>
      <c r="G11" s="27"/>
      <c r="H11" s="28"/>
      <c r="I11" s="26" t="b">
        <f ca="1">IF(AND(H10 = TrueAlignmentScore, CHOOSE(AlignmentType, AND(L11="", I14=""), I14="", 3=3) ), TRUE, AND(CHOOSE(AlignmentType, 1=1, ROW()&gt;4, H10&gt;0), OR(AND(K10=J10, L11=TRUE), AND(H13=H12, I14=TRUE), AND(K13=J12, L14=TRUE) )  ) )</f>
        <v>0</v>
      </c>
      <c r="J11" s="27"/>
      <c r="K11" s="28"/>
      <c r="L11" s="26" t="b">
        <f ca="1">IF(AND(K10 = TrueAlignmentScore, CHOOSE(AlignmentType, AND(O11="", L14=""), L14="", 3=3) ), TRUE, AND(CHOOSE(AlignmentType, 1=1, ROW()&gt;4, K10&gt;0), OR(AND(N10=M10, O11=TRUE), AND(K13=K12, L14=TRUE), AND(N13=M12, O14=TRUE) )  ) )</f>
        <v>0</v>
      </c>
      <c r="M11" s="27"/>
      <c r="N11" s="28"/>
      <c r="O11" s="26" t="b">
        <f ca="1">IF(AND(N10 = TrueAlignmentScore, CHOOSE(AlignmentType, AND(R11="", O14=""), O14="", 3=3) ), TRUE, AND(CHOOSE(AlignmentType, 1=1, ROW()&gt;4, N10&gt;0), OR(AND(Q10=P10, R11=TRUE), AND(N13=N12, O14=TRUE), AND(Q13=P12, R14=TRUE) )  ) )</f>
        <v>0</v>
      </c>
      <c r="P11" s="27"/>
      <c r="Q11" s="28"/>
      <c r="R11" s="26" t="b">
        <f ca="1">IF(AND(Q10 = TrueAlignmentScore, CHOOSE(AlignmentType, AND(U11="", R14=""), R14="", 3=3) ), TRUE, AND(CHOOSE(AlignmentType, 1=1, ROW()&gt;4, Q10&gt;0), OR(AND(T10=S10, U11=TRUE), AND(Q13=Q12, R14=TRUE), AND(T13=S12, U14=TRUE) )  ) )</f>
        <v>1</v>
      </c>
      <c r="S11" s="27"/>
      <c r="T11" s="28"/>
      <c r="U11" s="26" t="b">
        <f ca="1">IF(AND(T10 = TrueAlignmentScore, CHOOSE(AlignmentType, AND(X11="", U14=""), U14="", 3=3) ), TRUE, AND(CHOOSE(AlignmentType, 1=1, ROW()&gt;4, T10&gt;0), OR(AND(W10=V10, X11=TRUE), AND(T13=T12, U14=TRUE), AND(W13=V12, X14=TRUE) )  ) )</f>
        <v>0</v>
      </c>
      <c r="V11" s="27"/>
      <c r="W11" s="28"/>
      <c r="X11" s="26" t="b">
        <f ca="1">IF(AND(W10 = TrueAlignmentScore, CHOOSE(AlignmentType, AND(AA11="", X14=""), X14="", 3=3) ), TRUE, AND(CHOOSE(AlignmentType, 1=1, ROW()&gt;4, W10&gt;0), OR(AND(Z10=Y10, AA11=TRUE), AND(W13=W12, X14=TRUE), AND(Z13=Y12, AA14=TRUE) )  ) )</f>
        <v>0</v>
      </c>
      <c r="Y11" s="27"/>
      <c r="Z11" s="28"/>
      <c r="AA11" s="26" t="b">
        <f ca="1">IF(AND(Z10 = TrueAlignmentScore, CHOOSE(AlignmentType, AND(AD11="", AA14=""), AA14="", 3=3) ), TRUE, AND(CHOOSE(AlignmentType, 1=1, ROW()&gt;4, Z10&gt;0), OR(AND(AC10=AB10, AD11=TRUE), AND(Z13=Z12, AA14=TRUE), AND(AC13=AB12, AD14=TRUE) )  ) )</f>
        <v>0</v>
      </c>
      <c r="AB11" s="27"/>
      <c r="AC11" s="28"/>
      <c r="AD11" s="26" t="b">
        <f ca="1">IF(AND(AC10 = TrueAlignmentScore, CHOOSE(AlignmentType, AND(AG11="", AD14=""), AD14="", 3=3) ), TRUE, AND(CHOOSE(AlignmentType, 1=1, ROW()&gt;4, AC10&gt;0), OR(AND(AF10=AE10, AG11=TRUE), AND(AC13=AC12, AD14=TRUE), AND(AF13=AE12, AG14=TRUE) )  ) )</f>
        <v>0</v>
      </c>
      <c r="AE11" s="27"/>
      <c r="AF11" s="28"/>
      <c r="AG11" s="26" t="b">
        <f ca="1">IF(AND(AF10 = TrueAlignmentScore, CHOOSE(AlignmentType, AND(AJ11="", AG14=""), AG14="", 3=3) ), TRUE, AND(CHOOSE(AlignmentType, 1=1, ROW()&gt;4, AF10&gt;0), OR(AND(AI10=AH10, AJ11=TRUE), AND(AF13=AF12, AG14=TRUE), AND(AI13=AH12, AJ14=TRUE) )  ) )</f>
        <v>0</v>
      </c>
    </row>
    <row r="12" spans="1:33" s="1" customFormat="1">
      <c r="A12"/>
      <c r="B12"/>
      <c r="F12" s="21" t="str">
        <f>'Worksheet 1 - Scoring Matrix'!G19</f>
        <v>C</v>
      </c>
      <c r="G12" s="30" t="str">
        <f>""</f>
        <v/>
      </c>
      <c r="H12" s="31">
        <f>IF(AlignmentType=3, 0, H9 + GapScore)</f>
        <v>-18</v>
      </c>
      <c r="I12" s="24"/>
      <c r="J12" s="30">
        <f>H10+IF(J$2=$F12,MatchScore,MismatchScore)</f>
        <v>-14</v>
      </c>
      <c r="K12" s="31">
        <f>K10+GapScore</f>
        <v>-14</v>
      </c>
      <c r="L12" s="24"/>
      <c r="M12" s="30">
        <f>K10+IF(M$2=$F12,MatchScore,MismatchScore)</f>
        <v>-10</v>
      </c>
      <c r="N12" s="31">
        <f>N10+GapScore</f>
        <v>-10</v>
      </c>
      <c r="O12" s="24"/>
      <c r="P12" s="30">
        <f>N10+IF(P$2=$F12,MatchScore,MismatchScore)</f>
        <v>1</v>
      </c>
      <c r="Q12" s="31">
        <f>Q10+GapScore</f>
        <v>-2</v>
      </c>
      <c r="R12" s="24"/>
      <c r="S12" s="30">
        <f>Q10+IF(S$2=$F12,MatchScore,MismatchScore)</f>
        <v>2</v>
      </c>
      <c r="T12" s="31">
        <f>T10+GapScore</f>
        <v>-8</v>
      </c>
      <c r="U12" s="24"/>
      <c r="V12" s="30">
        <f>T10+IF(V$2=$F12,MatchScore,MismatchScore)</f>
        <v>3</v>
      </c>
      <c r="W12" s="31">
        <f>W10+GapScore</f>
        <v>-14</v>
      </c>
      <c r="X12" s="24"/>
      <c r="Y12" s="30">
        <f>W10+IF(Y$2=$F12,MatchScore,MismatchScore)</f>
        <v>-10</v>
      </c>
      <c r="Z12" s="31">
        <f>Z10+GapScore</f>
        <v>-20</v>
      </c>
      <c r="AA12" s="24"/>
      <c r="AB12" s="30">
        <f>Z10+IF(AB$2=$F12,MatchScore,MismatchScore)</f>
        <v>-16</v>
      </c>
      <c r="AC12" s="31">
        <f>AC10+GapScore</f>
        <v>-26</v>
      </c>
      <c r="AD12" s="24"/>
      <c r="AE12" s="30">
        <f>AC10+IF(AE$2=$F12,MatchScore,MismatchScore)</f>
        <v>-22</v>
      </c>
      <c r="AF12" s="31">
        <f>AF10+GapScore</f>
        <v>-32</v>
      </c>
      <c r="AG12" s="24"/>
    </row>
    <row r="13" spans="1:33" s="1" customFormat="1">
      <c r="A13"/>
      <c r="B13"/>
      <c r="E13" s="1">
        <f ca="1">MAX(OFFSET($H13, 0, 0, 1, 3 + 3*SeqA_Length) )</f>
        <v>3</v>
      </c>
      <c r="F13" s="22"/>
      <c r="G13" s="29" t="str">
        <f>""</f>
        <v/>
      </c>
      <c r="H13" s="17">
        <f>IF(AlignmentType=3, 0, H10 + GapScore)</f>
        <v>-18</v>
      </c>
      <c r="I13" s="25"/>
      <c r="J13" s="29">
        <f>H13+GapScore</f>
        <v>-24</v>
      </c>
      <c r="K13" s="17">
        <f>IF(AlignmentType = 3, MAX(0,J13,K12,J12), MAX(J13,K12,J12) )</f>
        <v>-14</v>
      </c>
      <c r="L13" s="25"/>
      <c r="M13" s="29">
        <f>K13+GapScore</f>
        <v>-20</v>
      </c>
      <c r="N13" s="17">
        <f>IF(AlignmentType = 3, MAX(0,M13,N12,M12), MAX(M13,N12,M12) )</f>
        <v>-10</v>
      </c>
      <c r="O13" s="25"/>
      <c r="P13" s="29">
        <f>N13+GapScore</f>
        <v>-16</v>
      </c>
      <c r="Q13" s="17">
        <f>IF(AlignmentType = 3, MAX(0,P13,Q12,P12), MAX(P13,Q12,P12) )</f>
        <v>1</v>
      </c>
      <c r="R13" s="25"/>
      <c r="S13" s="29">
        <f>Q13+GapScore</f>
        <v>-5</v>
      </c>
      <c r="T13" s="17">
        <f>IF(AlignmentType = 3, MAX(0,S13,T12,S12), MAX(S13,T12,S12) )</f>
        <v>2</v>
      </c>
      <c r="U13" s="25"/>
      <c r="V13" s="29">
        <f>T13+GapScore</f>
        <v>-4</v>
      </c>
      <c r="W13" s="17">
        <f>IF(AlignmentType = 3, MAX(0,V13,W12,V12), MAX(V13,W12,V12) )</f>
        <v>3</v>
      </c>
      <c r="X13" s="25"/>
      <c r="Y13" s="29">
        <f>W13+GapScore</f>
        <v>-3</v>
      </c>
      <c r="Z13" s="17">
        <f>IF(AlignmentType = 3, MAX(0,Y13,Z12,Y12), MAX(Y13,Z12,Y12) )</f>
        <v>-3</v>
      </c>
      <c r="AA13" s="25"/>
      <c r="AB13" s="29">
        <f>Z13+GapScore</f>
        <v>-9</v>
      </c>
      <c r="AC13" s="17">
        <f>IF(AlignmentType = 3, MAX(0,AB13,AC12,AB12), MAX(AB13,AC12,AB12) )</f>
        <v>-9</v>
      </c>
      <c r="AD13" s="25"/>
      <c r="AE13" s="29">
        <f>AC13+GapScore</f>
        <v>-15</v>
      </c>
      <c r="AF13" s="17">
        <f>IF(AlignmentType = 3, MAX(0,AE13,AF12,AE12), MAX(AE13,AF12,AE12) )</f>
        <v>-15</v>
      </c>
      <c r="AG13" s="25"/>
    </row>
    <row r="14" spans="1:33" s="1" customFormat="1">
      <c r="A14"/>
      <c r="B14"/>
      <c r="F14" s="23"/>
      <c r="G14" s="27"/>
      <c r="H14" s="28"/>
      <c r="I14" s="26" t="b">
        <f ca="1">IF(AND(H13 = TrueAlignmentScore, CHOOSE(AlignmentType, AND(L14="", I17=""), I17="", 3=3) ), TRUE, AND(CHOOSE(AlignmentType, 1=1, ROW()&gt;4, H13&gt;0), OR(AND(K13=J13, L14=TRUE), AND(H16=H15, I17=TRUE), AND(K16=J15, L17=TRUE) )  ) )</f>
        <v>0</v>
      </c>
      <c r="J14" s="27"/>
      <c r="K14" s="28"/>
      <c r="L14" s="26" t="b">
        <f ca="1">IF(AND(K13 = TrueAlignmentScore, CHOOSE(AlignmentType, AND(O14="", L17=""), L17="", 3=3) ), TRUE, AND(CHOOSE(AlignmentType, 1=1, ROW()&gt;4, K13&gt;0), OR(AND(N13=M13, O14=TRUE), AND(K16=K15, L17=TRUE), AND(N16=M15, O17=TRUE) )  ) )</f>
        <v>0</v>
      </c>
      <c r="M14" s="27"/>
      <c r="N14" s="28"/>
      <c r="O14" s="26" t="b">
        <f ca="1">IF(AND(N13 = TrueAlignmentScore, CHOOSE(AlignmentType, AND(R14="", O17=""), O17="", 3=3) ), TRUE, AND(CHOOSE(AlignmentType, 1=1, ROW()&gt;4, N13&gt;0), OR(AND(Q13=P13, R14=TRUE), AND(N16=N15, O17=TRUE), AND(Q16=P15, R17=TRUE) )  ) )</f>
        <v>0</v>
      </c>
      <c r="P14" s="27"/>
      <c r="Q14" s="28"/>
      <c r="R14" s="26" t="b">
        <f ca="1">IF(AND(Q13 = TrueAlignmentScore, CHOOSE(AlignmentType, AND(U14="", R17=""), R17="", 3=3) ), TRUE, AND(CHOOSE(AlignmentType, 1=1, ROW()&gt;4, Q13&gt;0), OR(AND(T13=S13, U14=TRUE), AND(Q16=Q15, R17=TRUE), AND(T16=S15, U17=TRUE) )  ) )</f>
        <v>0</v>
      </c>
      <c r="S14" s="27"/>
      <c r="T14" s="28"/>
      <c r="U14" s="26" t="b">
        <f ca="1">IF(AND(T13 = TrueAlignmentScore, CHOOSE(AlignmentType, AND(X14="", U17=""), U17="", 3=3) ), TRUE, AND(CHOOSE(AlignmentType, 1=1, ROW()&gt;4, T13&gt;0), OR(AND(W13=V13, X14=TRUE), AND(T16=T15, U17=TRUE), AND(W16=V15, X17=TRUE) )  ) )</f>
        <v>1</v>
      </c>
      <c r="V14" s="27"/>
      <c r="W14" s="28"/>
      <c r="X14" s="26" t="b">
        <f ca="1">IF(AND(W13 = TrueAlignmentScore, CHOOSE(AlignmentType, AND(AA14="", X17=""), X17="", 3=3) ), TRUE, AND(CHOOSE(AlignmentType, 1=1, ROW()&gt;4, W13&gt;0), OR(AND(Z13=Y13, AA14=TRUE), AND(W16=W15, X17=TRUE), AND(Z16=Y15, AA17=TRUE) )  ) )</f>
        <v>0</v>
      </c>
      <c r="Y14" s="27"/>
      <c r="Z14" s="28"/>
      <c r="AA14" s="26" t="b">
        <f ca="1">IF(AND(Z13 = TrueAlignmentScore, CHOOSE(AlignmentType, AND(AD14="", AA17=""), AA17="", 3=3) ), TRUE, AND(CHOOSE(AlignmentType, 1=1, ROW()&gt;4, Z13&gt;0), OR(AND(AC13=AB13, AD14=TRUE), AND(Z16=Z15, AA17=TRUE), AND(AC16=AB15, AD17=TRUE) )  ) )</f>
        <v>0</v>
      </c>
      <c r="AB14" s="27"/>
      <c r="AC14" s="28"/>
      <c r="AD14" s="26" t="b">
        <f ca="1">IF(AND(AC13 = TrueAlignmentScore, CHOOSE(AlignmentType, AND(AG14="", AD17=""), AD17="", 3=3) ), TRUE, AND(CHOOSE(AlignmentType, 1=1, ROW()&gt;4, AC13&gt;0), OR(AND(AF13=AE13, AG14=TRUE), AND(AC16=AC15, AD17=TRUE), AND(AF16=AE15, AG17=TRUE) )  ) )</f>
        <v>0</v>
      </c>
      <c r="AE14" s="27"/>
      <c r="AF14" s="28"/>
      <c r="AG14" s="26" t="b">
        <f ca="1">IF(AND(AF13 = TrueAlignmentScore, CHOOSE(AlignmentType, AND(AJ14="", AG17=""), AG17="", 3=3) ), TRUE, AND(CHOOSE(AlignmentType, 1=1, ROW()&gt;4, AF13&gt;0), OR(AND(AI13=AH13, AJ14=TRUE), AND(AF16=AF15, AG17=TRUE), AND(AI16=AH15, AJ17=TRUE) )  ) )</f>
        <v>0</v>
      </c>
    </row>
    <row r="15" spans="1:33" s="1" customFormat="1">
      <c r="A15"/>
      <c r="B15"/>
      <c r="F15" s="21" t="str">
        <f>'Worksheet 1 - Scoring Matrix'!G22</f>
        <v>C</v>
      </c>
      <c r="G15" s="30" t="str">
        <f>""</f>
        <v/>
      </c>
      <c r="H15" s="31">
        <f>IF(AlignmentType=3, 0, H12 + GapScore)</f>
        <v>-24</v>
      </c>
      <c r="I15" s="24"/>
      <c r="J15" s="30">
        <f>H13+IF(J$2=$F15,MatchScore,MismatchScore)</f>
        <v>-20</v>
      </c>
      <c r="K15" s="31">
        <f>K13+GapScore</f>
        <v>-20</v>
      </c>
      <c r="L15" s="24"/>
      <c r="M15" s="30">
        <f>K13+IF(M$2=$F15,MatchScore,MismatchScore)</f>
        <v>-16</v>
      </c>
      <c r="N15" s="31">
        <f>N13+GapScore</f>
        <v>-16</v>
      </c>
      <c r="O15" s="24"/>
      <c r="P15" s="30">
        <f>N13+IF(P$2=$F15,MatchScore,MismatchScore)</f>
        <v>-5</v>
      </c>
      <c r="Q15" s="31">
        <f>Q13+GapScore</f>
        <v>-5</v>
      </c>
      <c r="R15" s="24"/>
      <c r="S15" s="30">
        <f>Q13+IF(S$2=$F15,MatchScore,MismatchScore)</f>
        <v>-1</v>
      </c>
      <c r="T15" s="31">
        <f>T13+GapScore</f>
        <v>-4</v>
      </c>
      <c r="U15" s="24"/>
      <c r="V15" s="30">
        <f>T13+IF(V$2=$F15,MatchScore,MismatchScore)</f>
        <v>7</v>
      </c>
      <c r="W15" s="31">
        <f>W13+GapScore</f>
        <v>-3</v>
      </c>
      <c r="X15" s="24"/>
      <c r="Y15" s="30">
        <f>W13+IF(Y$2=$F15,MatchScore,MismatchScore)</f>
        <v>1</v>
      </c>
      <c r="Z15" s="31">
        <f>Z13+GapScore</f>
        <v>-9</v>
      </c>
      <c r="AA15" s="24"/>
      <c r="AB15" s="30">
        <f>Z13+IF(AB$2=$F15,MatchScore,MismatchScore)</f>
        <v>-5</v>
      </c>
      <c r="AC15" s="31">
        <f>AC13+GapScore</f>
        <v>-15</v>
      </c>
      <c r="AD15" s="24"/>
      <c r="AE15" s="30">
        <f>AC13+IF(AE$2=$F15,MatchScore,MismatchScore)</f>
        <v>-11</v>
      </c>
      <c r="AF15" s="31">
        <f>AF13+GapScore</f>
        <v>-21</v>
      </c>
      <c r="AG15" s="24"/>
    </row>
    <row r="16" spans="1:33" s="1" customFormat="1">
      <c r="A16"/>
      <c r="B16"/>
      <c r="E16" s="1">
        <f ca="1">MAX(OFFSET($H16, 0, 0, 1, 3 + 3*SeqA_Length) )</f>
        <v>7</v>
      </c>
      <c r="F16" s="22"/>
      <c r="G16" s="29" t="str">
        <f>""</f>
        <v/>
      </c>
      <c r="H16" s="17">
        <f>IF(AlignmentType=3, 0, H13 + GapScore)</f>
        <v>-24</v>
      </c>
      <c r="I16" s="25"/>
      <c r="J16" s="29">
        <f>H16+GapScore</f>
        <v>-30</v>
      </c>
      <c r="K16" s="17">
        <f>IF(AlignmentType = 3, MAX(0,J16,K15,J15), MAX(J16,K15,J15) )</f>
        <v>-20</v>
      </c>
      <c r="L16" s="25"/>
      <c r="M16" s="29">
        <f>K16+GapScore</f>
        <v>-26</v>
      </c>
      <c r="N16" s="17">
        <f>IF(AlignmentType = 3, MAX(0,M16,N15,M15), MAX(M16,N15,M15) )</f>
        <v>-16</v>
      </c>
      <c r="O16" s="25"/>
      <c r="P16" s="29">
        <f>N16+GapScore</f>
        <v>-22</v>
      </c>
      <c r="Q16" s="17">
        <f>IF(AlignmentType = 3, MAX(0,P16,Q15,P15), MAX(P16,Q15,P15) )</f>
        <v>-5</v>
      </c>
      <c r="R16" s="25"/>
      <c r="S16" s="29">
        <f>Q16+GapScore</f>
        <v>-11</v>
      </c>
      <c r="T16" s="17">
        <f>IF(AlignmentType = 3, MAX(0,S16,T15,S15), MAX(S16,T15,S15) )</f>
        <v>-1</v>
      </c>
      <c r="U16" s="25"/>
      <c r="V16" s="29">
        <f>T16+GapScore</f>
        <v>-7</v>
      </c>
      <c r="W16" s="17">
        <f>IF(AlignmentType = 3, MAX(0,V16,W15,V15), MAX(V16,W15,V15) )</f>
        <v>7</v>
      </c>
      <c r="X16" s="25"/>
      <c r="Y16" s="29">
        <f>W16+GapScore</f>
        <v>1</v>
      </c>
      <c r="Z16" s="17">
        <f>IF(AlignmentType = 3, MAX(0,Y16,Z15,Y15), MAX(Y16,Z15,Y15) )</f>
        <v>1</v>
      </c>
      <c r="AA16" s="25"/>
      <c r="AB16" s="29">
        <f>Z16+GapScore</f>
        <v>-5</v>
      </c>
      <c r="AC16" s="17">
        <f>IF(AlignmentType = 3, MAX(0,AB16,AC15,AB15), MAX(AB16,AC15,AB15) )</f>
        <v>-5</v>
      </c>
      <c r="AD16" s="25"/>
      <c r="AE16" s="29">
        <f>AC16+GapScore</f>
        <v>-11</v>
      </c>
      <c r="AF16" s="17">
        <f>IF(AlignmentType = 3, MAX(0,AE16,AF15,AE15), MAX(AE16,AF15,AE15) )</f>
        <v>-11</v>
      </c>
      <c r="AG16" s="25"/>
    </row>
    <row r="17" spans="1:33" s="1" customFormat="1">
      <c r="A17"/>
      <c r="B17"/>
      <c r="F17" s="23"/>
      <c r="G17" s="27"/>
      <c r="H17" s="28"/>
      <c r="I17" s="26" t="b">
        <f ca="1">IF(AND(H16 = TrueAlignmentScore, CHOOSE(AlignmentType, AND(L17="", I20=""), I20="", 3=3) ), TRUE, AND(CHOOSE(AlignmentType, 1=1, ROW()&gt;4, H16&gt;0), OR(AND(K16=J16, L17=TRUE), AND(H19=H18, I20=TRUE), AND(K19=J18, L20=TRUE) )  ) )</f>
        <v>0</v>
      </c>
      <c r="J17" s="27"/>
      <c r="K17" s="28"/>
      <c r="L17" s="26" t="b">
        <f ca="1">IF(AND(K16 = TrueAlignmentScore, CHOOSE(AlignmentType, AND(O17="", L20=""), L20="", 3=3) ), TRUE, AND(CHOOSE(AlignmentType, 1=1, ROW()&gt;4, K16&gt;0), OR(AND(N16=M16, O17=TRUE), AND(K19=K18, L20=TRUE), AND(N19=M18, O20=TRUE) )  ) )</f>
        <v>0</v>
      </c>
      <c r="M17" s="27"/>
      <c r="N17" s="28"/>
      <c r="O17" s="26" t="b">
        <f ca="1">IF(AND(N16 = TrueAlignmentScore, CHOOSE(AlignmentType, AND(R17="", O20=""), O20="", 3=3) ), TRUE, AND(CHOOSE(AlignmentType, 1=1, ROW()&gt;4, N16&gt;0), OR(AND(Q16=P16, R17=TRUE), AND(N19=N18, O20=TRUE), AND(Q19=P18, R20=TRUE) )  ) )</f>
        <v>0</v>
      </c>
      <c r="P17" s="27"/>
      <c r="Q17" s="28"/>
      <c r="R17" s="26" t="b">
        <f ca="1">IF(AND(Q16 = TrueAlignmentScore, CHOOSE(AlignmentType, AND(U17="", R20=""), R20="", 3=3) ), TRUE, AND(CHOOSE(AlignmentType, 1=1, ROW()&gt;4, Q16&gt;0), OR(AND(T16=S16, U17=TRUE), AND(Q19=Q18, R20=TRUE), AND(T19=S18, U20=TRUE) )  ) )</f>
        <v>0</v>
      </c>
      <c r="S17" s="27"/>
      <c r="T17" s="28"/>
      <c r="U17" s="26" t="b">
        <f ca="1">IF(AND(T16 = TrueAlignmentScore, CHOOSE(AlignmentType, AND(X17="", U20=""), U20="", 3=3) ), TRUE, AND(CHOOSE(AlignmentType, 1=1, ROW()&gt;4, T16&gt;0), OR(AND(W16=V16, X17=TRUE), AND(T19=T18, U20=TRUE), AND(W19=V18, X20=TRUE) )  ) )</f>
        <v>0</v>
      </c>
      <c r="V17" s="27"/>
      <c r="W17" s="28"/>
      <c r="X17" s="26" t="b">
        <f ca="1">IF(AND(W16 = TrueAlignmentScore, CHOOSE(AlignmentType, AND(AA17="", X20=""), X20="", 3=3) ), TRUE, AND(CHOOSE(AlignmentType, 1=1, ROW()&gt;4, W16&gt;0), OR(AND(Z16=Y16, AA17=TRUE), AND(W19=W18, X20=TRUE), AND(Z19=Y18, AA20=TRUE) )  ) )</f>
        <v>1</v>
      </c>
      <c r="Y17" s="27"/>
      <c r="Z17" s="28"/>
      <c r="AA17" s="26" t="b">
        <f ca="1">IF(AND(Z16 = TrueAlignmentScore, CHOOSE(AlignmentType, AND(AD17="", AA20=""), AA20="", 3=3) ), TRUE, AND(CHOOSE(AlignmentType, 1=1, ROW()&gt;4, Z16&gt;0), OR(AND(AC16=AB16, AD17=TRUE), AND(Z19=Z18, AA20=TRUE), AND(AC19=AB18, AD20=TRUE) )  ) )</f>
        <v>0</v>
      </c>
      <c r="AB17" s="27"/>
      <c r="AC17" s="28"/>
      <c r="AD17" s="26" t="b">
        <f ca="1">IF(AND(AC16 = TrueAlignmentScore, CHOOSE(AlignmentType, AND(AG17="", AD20=""), AD20="", 3=3) ), TRUE, AND(CHOOSE(AlignmentType, 1=1, ROW()&gt;4, AC16&gt;0), OR(AND(AF16=AE16, AG17=TRUE), AND(AC19=AC18, AD20=TRUE), AND(AF19=AE18, AG20=TRUE) )  ) )</f>
        <v>0</v>
      </c>
      <c r="AE17" s="27"/>
      <c r="AF17" s="28"/>
      <c r="AG17" s="26" t="b">
        <f ca="1">IF(AND(AF16 = TrueAlignmentScore, CHOOSE(AlignmentType, AND(AJ17="", AG20=""), AG20="", 3=3) ), TRUE, AND(CHOOSE(AlignmentType, 1=1, ROW()&gt;4, AF16&gt;0), OR(AND(AI16=AH16, AJ17=TRUE), AND(AF19=AF18, AG20=TRUE), AND(AI19=AH18, AJ20=TRUE) )  ) )</f>
        <v>0</v>
      </c>
    </row>
    <row r="18" spans="1:33" s="1" customFormat="1">
      <c r="A18"/>
      <c r="B18"/>
      <c r="F18" s="21" t="str">
        <f>'Worksheet 1 - Scoring Matrix'!G25</f>
        <v>A</v>
      </c>
      <c r="G18" s="30" t="str">
        <f>""</f>
        <v/>
      </c>
      <c r="H18" s="31">
        <f>IF(AlignmentType=3, 0, H15 + GapScore)</f>
        <v>-30</v>
      </c>
      <c r="I18" s="24"/>
      <c r="J18" s="30">
        <f>H16+IF(J$2=$F18,MatchScore,MismatchScore)</f>
        <v>-26</v>
      </c>
      <c r="K18" s="31">
        <f>K16+GapScore</f>
        <v>-26</v>
      </c>
      <c r="L18" s="24"/>
      <c r="M18" s="30">
        <f>K16+IF(M$2=$F18,MatchScore,MismatchScore)</f>
        <v>-15</v>
      </c>
      <c r="N18" s="31">
        <f>N16+GapScore</f>
        <v>-22</v>
      </c>
      <c r="O18" s="24"/>
      <c r="P18" s="30">
        <f>N16+IF(P$2=$F18,MatchScore,MismatchScore)</f>
        <v>-18</v>
      </c>
      <c r="Q18" s="31">
        <f>Q16+GapScore</f>
        <v>-11</v>
      </c>
      <c r="R18" s="24"/>
      <c r="S18" s="30">
        <f>Q16+IF(S$2=$F18,MatchScore,MismatchScore)</f>
        <v>-7</v>
      </c>
      <c r="T18" s="31">
        <f>T16+GapScore</f>
        <v>-7</v>
      </c>
      <c r="U18" s="24"/>
      <c r="V18" s="30">
        <f>T16+IF(V$2=$F18,MatchScore,MismatchScore)</f>
        <v>-3</v>
      </c>
      <c r="W18" s="31">
        <f>W16+GapScore</f>
        <v>1</v>
      </c>
      <c r="X18" s="24"/>
      <c r="Y18" s="30">
        <f>W16+IF(Y$2=$F18,MatchScore,MismatchScore)</f>
        <v>12</v>
      </c>
      <c r="Z18" s="31">
        <f>Z16+GapScore</f>
        <v>-5</v>
      </c>
      <c r="AA18" s="24"/>
      <c r="AB18" s="30">
        <f>Z16+IF(AB$2=$F18,MatchScore,MismatchScore)</f>
        <v>-1</v>
      </c>
      <c r="AC18" s="31">
        <f>AC16+GapScore</f>
        <v>-11</v>
      </c>
      <c r="AD18" s="24"/>
      <c r="AE18" s="30">
        <f>AC16+IF(AE$2=$F18,MatchScore,MismatchScore)</f>
        <v>-7</v>
      </c>
      <c r="AF18" s="31">
        <f>AF16+GapScore</f>
        <v>-17</v>
      </c>
      <c r="AG18" s="24"/>
    </row>
    <row r="19" spans="1:33" s="1" customFormat="1">
      <c r="E19" s="1">
        <f ca="1">MAX(OFFSET($H19, 0, 0, 1, 3 + 3*SeqA_Length) )</f>
        <v>12</v>
      </c>
      <c r="F19" s="22"/>
      <c r="G19" s="29" t="str">
        <f>""</f>
        <v/>
      </c>
      <c r="H19" s="17">
        <f>IF(AlignmentType=3, 0, H16 + GapScore)</f>
        <v>-30</v>
      </c>
      <c r="I19" s="25"/>
      <c r="J19" s="29">
        <f>H19+GapScore</f>
        <v>-36</v>
      </c>
      <c r="K19" s="17">
        <f>IF(AlignmentType = 3, MAX(0,J19,K18,J18), MAX(J19,K18,J18) )</f>
        <v>-26</v>
      </c>
      <c r="L19" s="25"/>
      <c r="M19" s="29">
        <f>K19+GapScore</f>
        <v>-32</v>
      </c>
      <c r="N19" s="17">
        <f>IF(AlignmentType = 3, MAX(0,M19,N18,M18), MAX(M19,N18,M18) )</f>
        <v>-15</v>
      </c>
      <c r="O19" s="25"/>
      <c r="P19" s="29">
        <f>N19+GapScore</f>
        <v>-21</v>
      </c>
      <c r="Q19" s="17">
        <f>IF(AlignmentType = 3, MAX(0,P19,Q18,P18), MAX(P19,Q18,P18) )</f>
        <v>-11</v>
      </c>
      <c r="R19" s="25"/>
      <c r="S19" s="29">
        <f>Q19+GapScore</f>
        <v>-17</v>
      </c>
      <c r="T19" s="17">
        <f>IF(AlignmentType = 3, MAX(0,S19,T18,S18), MAX(S19,T18,S18) )</f>
        <v>-7</v>
      </c>
      <c r="U19" s="25"/>
      <c r="V19" s="29">
        <f>T19+GapScore</f>
        <v>-13</v>
      </c>
      <c r="W19" s="17">
        <f>IF(AlignmentType = 3, MAX(0,V19,W18,V18), MAX(V19,W18,V18) )</f>
        <v>1</v>
      </c>
      <c r="X19" s="25"/>
      <c r="Y19" s="29">
        <f>W19+GapScore</f>
        <v>-5</v>
      </c>
      <c r="Z19" s="17">
        <f>IF(AlignmentType = 3, MAX(0,Y19,Z18,Y18), MAX(Y19,Z18,Y18) )</f>
        <v>12</v>
      </c>
      <c r="AA19" s="25"/>
      <c r="AB19" s="29">
        <f>Z19+GapScore</f>
        <v>6</v>
      </c>
      <c r="AC19" s="17">
        <f>IF(AlignmentType = 3, MAX(0,AB19,AC18,AB18), MAX(AB19,AC18,AB18) )</f>
        <v>6</v>
      </c>
      <c r="AD19" s="25"/>
      <c r="AE19" s="29">
        <f>AC19+GapScore</f>
        <v>0</v>
      </c>
      <c r="AF19" s="17">
        <f>IF(AlignmentType = 3, MAX(0,AE19,AF18,AE18), MAX(AE19,AF18,AE18) )</f>
        <v>0</v>
      </c>
      <c r="AG19" s="25"/>
    </row>
    <row r="20" spans="1:33" s="1" customFormat="1">
      <c r="F20" s="23"/>
      <c r="G20" s="27"/>
      <c r="H20" s="28"/>
      <c r="I20" s="26" t="b">
        <f ca="1">IF(AND(H19 = TrueAlignmentScore, CHOOSE(AlignmentType, AND(L20="", I23=""), I23="", 3=3) ), TRUE, AND(CHOOSE(AlignmentType, 1=1, ROW()&gt;4, H19&gt;0), OR(AND(K19=J19, L20=TRUE), AND(H22=H21, I23=TRUE), AND(K22=J21, L23=TRUE) )  ) )</f>
        <v>0</v>
      </c>
      <c r="J20" s="27"/>
      <c r="K20" s="28"/>
      <c r="L20" s="26" t="b">
        <f ca="1">IF(AND(K19 = TrueAlignmentScore, CHOOSE(AlignmentType, AND(O20="", L23=""), L23="", 3=3) ), TRUE, AND(CHOOSE(AlignmentType, 1=1, ROW()&gt;4, K19&gt;0), OR(AND(N19=M19, O20=TRUE), AND(K22=K21, L23=TRUE), AND(N22=M21, O23=TRUE) )  ) )</f>
        <v>0</v>
      </c>
      <c r="M20" s="27"/>
      <c r="N20" s="28"/>
      <c r="O20" s="26" t="b">
        <f ca="1">IF(AND(N19 = TrueAlignmentScore, CHOOSE(AlignmentType, AND(R20="", O23=""), O23="", 3=3) ), TRUE, AND(CHOOSE(AlignmentType, 1=1, ROW()&gt;4, N19&gt;0), OR(AND(Q19=P19, R20=TRUE), AND(N22=N21, O23=TRUE), AND(Q22=P21, R23=TRUE) )  ) )</f>
        <v>0</v>
      </c>
      <c r="P20" s="27"/>
      <c r="Q20" s="28"/>
      <c r="R20" s="26" t="b">
        <f ca="1">IF(AND(Q19 = TrueAlignmentScore, CHOOSE(AlignmentType, AND(U20="", R23=""), R23="", 3=3) ), TRUE, AND(CHOOSE(AlignmentType, 1=1, ROW()&gt;4, Q19&gt;0), OR(AND(T19=S19, U20=TRUE), AND(Q22=Q21, R23=TRUE), AND(T22=S21, U23=TRUE) )  ) )</f>
        <v>0</v>
      </c>
      <c r="S20" s="27"/>
      <c r="T20" s="28"/>
      <c r="U20" s="26" t="b">
        <f ca="1">IF(AND(T19 = TrueAlignmentScore, CHOOSE(AlignmentType, AND(X20="", U23=""), U23="", 3=3) ), TRUE, AND(CHOOSE(AlignmentType, 1=1, ROW()&gt;4, T19&gt;0), OR(AND(W19=V19, X20=TRUE), AND(T22=T21, U23=TRUE), AND(W22=V21, X23=TRUE) )  ) )</f>
        <v>0</v>
      </c>
      <c r="V20" s="27"/>
      <c r="W20" s="28"/>
      <c r="X20" s="26" t="b">
        <f ca="1">IF(AND(W19 = TrueAlignmentScore, CHOOSE(AlignmentType, AND(AA20="", X23=""), X23="", 3=3) ), TRUE, AND(CHOOSE(AlignmentType, 1=1, ROW()&gt;4, W19&gt;0), OR(AND(Z19=Y19, AA20=TRUE), AND(W22=W21, X23=TRUE), AND(Z22=Y21, AA23=TRUE) )  ) )</f>
        <v>0</v>
      </c>
      <c r="Y20" s="27"/>
      <c r="Z20" s="28"/>
      <c r="AA20" s="26" t="b">
        <f ca="1">IF(AND(Z19 = TrueAlignmentScore, CHOOSE(AlignmentType, AND(AD20="", AA23=""), AA23="", 3=3) ), TRUE, AND(CHOOSE(AlignmentType, 1=1, ROW()&gt;4, Z19&gt;0), OR(AND(AC19=AB19, AD20=TRUE), AND(Z22=Z21, AA23=TRUE), AND(AC22=AB21, AD23=TRUE) )  ) )</f>
        <v>1</v>
      </c>
      <c r="AB20" s="27"/>
      <c r="AC20" s="28"/>
      <c r="AD20" s="26" t="b">
        <f ca="1">IF(AND(AC19 = TrueAlignmentScore, CHOOSE(AlignmentType, AND(AG20="", AD23=""), AD23="", 3=3) ), TRUE, AND(CHOOSE(AlignmentType, 1=1, ROW()&gt;4, AC19&gt;0), OR(AND(AF19=AE19, AG20=TRUE), AND(AC22=AC21, AD23=TRUE), AND(AF22=AE21, AG23=TRUE) )  ) )</f>
        <v>1</v>
      </c>
      <c r="AE20" s="27"/>
      <c r="AF20" s="28"/>
      <c r="AG20" s="26" t="b">
        <f ca="1">IF(AND(AF19 = TrueAlignmentScore, CHOOSE(AlignmentType, AND(AJ20="", AG23=""), AG23="", 3=3) ), TRUE, AND(CHOOSE(AlignmentType, 1=1, ROW()&gt;4, AF19&gt;0), OR(AND(AI19=AH19, AJ20=TRUE), AND(AF22=AF21, AG23=TRUE), AND(AI22=AH21, AJ23=TRUE) )  ) )</f>
        <v>0</v>
      </c>
    </row>
    <row r="21" spans="1:33" s="1" customFormat="1">
      <c r="A21" s="12" t="str">
        <f>'Worksheet 2 - Traceback'!A16</f>
        <v>Length of subject sequence:</v>
      </c>
      <c r="B21" s="2"/>
      <c r="C21" s="13">
        <f>SeqA_Length</f>
        <v>8</v>
      </c>
      <c r="F21" s="21" t="str">
        <f>'Worksheet 1 - Scoring Matrix'!G28</f>
        <v>T</v>
      </c>
      <c r="G21" s="30" t="str">
        <f>""</f>
        <v/>
      </c>
      <c r="H21" s="31">
        <f>IF(AlignmentType=3, 0, H18 + GapScore)</f>
        <v>-36</v>
      </c>
      <c r="I21" s="24"/>
      <c r="J21" s="30">
        <f>H19+IF(J$2=$F21,MatchScore,MismatchScore)</f>
        <v>-32</v>
      </c>
      <c r="K21" s="31">
        <f>K19+GapScore</f>
        <v>-32</v>
      </c>
      <c r="L21" s="24"/>
      <c r="M21" s="30">
        <f>K19+IF(M$2=$F21,MatchScore,MismatchScore)</f>
        <v>-28</v>
      </c>
      <c r="N21" s="31">
        <f>N19+GapScore</f>
        <v>-21</v>
      </c>
      <c r="O21" s="24"/>
      <c r="P21" s="30">
        <f>N19+IF(P$2=$F21,MatchScore,MismatchScore)</f>
        <v>-17</v>
      </c>
      <c r="Q21" s="31">
        <f>Q19+GapScore</f>
        <v>-17</v>
      </c>
      <c r="R21" s="24"/>
      <c r="S21" s="30">
        <f>Q19+IF(S$2=$F21,MatchScore,MismatchScore)</f>
        <v>-13</v>
      </c>
      <c r="T21" s="31">
        <f>T19+GapScore</f>
        <v>-13</v>
      </c>
      <c r="U21" s="24"/>
      <c r="V21" s="30">
        <f>T19+IF(V$2=$F21,MatchScore,MismatchScore)</f>
        <v>-9</v>
      </c>
      <c r="W21" s="31">
        <f>W19+GapScore</f>
        <v>-5</v>
      </c>
      <c r="X21" s="24"/>
      <c r="Y21" s="30">
        <f>W19+IF(Y$2=$F21,MatchScore,MismatchScore)</f>
        <v>-1</v>
      </c>
      <c r="Z21" s="31">
        <f>Z19+GapScore</f>
        <v>6</v>
      </c>
      <c r="AA21" s="24"/>
      <c r="AB21" s="30">
        <f>Z19+IF(AB$2=$F21,MatchScore,MismatchScore)</f>
        <v>10</v>
      </c>
      <c r="AC21" s="31">
        <f>AC19+GapScore</f>
        <v>0</v>
      </c>
      <c r="AD21" s="24"/>
      <c r="AE21" s="30">
        <f>AC19+IF(AE$2=$F21,MatchScore,MismatchScore)</f>
        <v>11</v>
      </c>
      <c r="AF21" s="31">
        <f>AF19+GapScore</f>
        <v>-6</v>
      </c>
      <c r="AG21" s="24"/>
    </row>
    <row r="22" spans="1:33" s="1" customFormat="1">
      <c r="A22" s="14" t="str">
        <f>'Worksheet 2 - Traceback'!A17</f>
        <v>Length of query sequence:</v>
      </c>
      <c r="B22" s="15"/>
      <c r="C22" s="16">
        <f>SeqB_Length</f>
        <v>6</v>
      </c>
      <c r="E22" s="1">
        <f ca="1">MAX(OFFSET($H22, 0, 0, 1, 3 + 3*SeqA_Length) )</f>
        <v>11</v>
      </c>
      <c r="F22" s="22"/>
      <c r="G22" s="29" t="str">
        <f>""</f>
        <v/>
      </c>
      <c r="H22" s="17">
        <f>IF(AlignmentType=3, 0, H19 + GapScore)</f>
        <v>-36</v>
      </c>
      <c r="I22" s="25"/>
      <c r="J22" s="29">
        <f>H22+GapScore</f>
        <v>-42</v>
      </c>
      <c r="K22" s="17">
        <f>IF(AlignmentType = 3, MAX(0,J22,K21,J21), MAX(J22,K21,J21) )</f>
        <v>-32</v>
      </c>
      <c r="L22" s="25"/>
      <c r="M22" s="29">
        <f>K22+GapScore</f>
        <v>-38</v>
      </c>
      <c r="N22" s="17">
        <f>IF(AlignmentType = 3, MAX(0,M22,N21,M21), MAX(M22,N21,M21) )</f>
        <v>-21</v>
      </c>
      <c r="O22" s="25"/>
      <c r="P22" s="29">
        <f>N22+GapScore</f>
        <v>-27</v>
      </c>
      <c r="Q22" s="17">
        <f>IF(AlignmentType = 3, MAX(0,P22,Q21,P21), MAX(P22,Q21,P21) )</f>
        <v>-17</v>
      </c>
      <c r="R22" s="25"/>
      <c r="S22" s="29">
        <f>Q22+GapScore</f>
        <v>-23</v>
      </c>
      <c r="T22" s="17">
        <f>IF(AlignmentType = 3, MAX(0,S22,T21,S21), MAX(S22,T21,S21) )</f>
        <v>-13</v>
      </c>
      <c r="U22" s="25"/>
      <c r="V22" s="29">
        <f>T22+GapScore</f>
        <v>-19</v>
      </c>
      <c r="W22" s="17">
        <f>IF(AlignmentType = 3, MAX(0,V22,W21,V21), MAX(V22,W21,V21) )</f>
        <v>-5</v>
      </c>
      <c r="X22" s="25"/>
      <c r="Y22" s="29">
        <f>W22+GapScore</f>
        <v>-11</v>
      </c>
      <c r="Z22" s="17">
        <f>IF(AlignmentType = 3, MAX(0,Y22,Z21,Y21), MAX(Y22,Z21,Y21) )</f>
        <v>6</v>
      </c>
      <c r="AA22" s="25"/>
      <c r="AB22" s="29">
        <f>Z22+GapScore</f>
        <v>0</v>
      </c>
      <c r="AC22" s="17">
        <f>IF(AlignmentType = 3, MAX(0,AB22,AC21,AB21), MAX(AB22,AC21,AB21) )</f>
        <v>10</v>
      </c>
      <c r="AD22" s="25"/>
      <c r="AE22" s="29">
        <f>AC22+GapScore</f>
        <v>4</v>
      </c>
      <c r="AF22" s="17">
        <f>IF(AlignmentType = 3, MAX(0,AE22,AF21,AE21), MAX(AE22,AF21,AE21) )</f>
        <v>11</v>
      </c>
      <c r="AG22" s="25"/>
    </row>
    <row r="23" spans="1:33" s="1" customFormat="1">
      <c r="A23" s="18" t="s">
        <v>17</v>
      </c>
      <c r="B23" s="19"/>
      <c r="C23" s="20">
        <f ca="1">CHOOSE(AlignmentType, OFFSET($H$4, 3*SeqB_Length, 3*SeqA_Length), MAX(OFFSET($H$4, 3*SeqB_Length, 0, 1, 1+3*SeqA_Length) ), MAX(OFFSET($H$1, 0, 0, 1, 1 + 3*SeqA_Length) )   )</f>
        <v>11</v>
      </c>
      <c r="F23" s="23"/>
      <c r="G23" s="27"/>
      <c r="H23" s="28"/>
      <c r="I23" s="26" t="b">
        <f ca="1">IF(AND(H22 = TrueAlignmentScore, CHOOSE(AlignmentType, AND(L23="", I26=""), I26="", 3=3) ), TRUE, AND(CHOOSE(AlignmentType, 1=1, ROW()&gt;4, H22&gt;0), OR(AND(K22=J22, L23=TRUE), AND(H25=H24, I26=TRUE), AND(K25=J24, L26=TRUE) )  ) )</f>
        <v>0</v>
      </c>
      <c r="J23" s="27"/>
      <c r="K23" s="28"/>
      <c r="L23" s="26" t="b">
        <f ca="1">IF(AND(K22 = TrueAlignmentScore, CHOOSE(AlignmentType, AND(O23="", L26=""), L26="", 3=3) ), TRUE, AND(CHOOSE(AlignmentType, 1=1, ROW()&gt;4, K22&gt;0), OR(AND(N22=M22, O23=TRUE), AND(K25=K24, L26=TRUE), AND(N25=M24, O26=TRUE) )  ) )</f>
        <v>0</v>
      </c>
      <c r="M23" s="27"/>
      <c r="N23" s="28"/>
      <c r="O23" s="26" t="b">
        <f ca="1">IF(AND(N22 = TrueAlignmentScore, CHOOSE(AlignmentType, AND(R23="", O26=""), O26="", 3=3) ), TRUE, AND(CHOOSE(AlignmentType, 1=1, ROW()&gt;4, N22&gt;0), OR(AND(Q22=P22, R23=TRUE), AND(N25=N24, O26=TRUE), AND(Q25=P24, R26=TRUE) )  ) )</f>
        <v>0</v>
      </c>
      <c r="P23" s="27"/>
      <c r="Q23" s="28"/>
      <c r="R23" s="26" t="b">
        <f ca="1">IF(AND(Q22 = TrueAlignmentScore, CHOOSE(AlignmentType, AND(U23="", R26=""), R26="", 3=3) ), TRUE, AND(CHOOSE(AlignmentType, 1=1, ROW()&gt;4, Q22&gt;0), OR(AND(T22=S22, U23=TRUE), AND(Q25=Q24, R26=TRUE), AND(T25=S24, U26=TRUE) )  ) )</f>
        <v>0</v>
      </c>
      <c r="S23" s="27"/>
      <c r="T23" s="28"/>
      <c r="U23" s="26" t="b">
        <f ca="1">IF(AND(T22 = TrueAlignmentScore, CHOOSE(AlignmentType, AND(X23="", U26=""), U26="", 3=3) ), TRUE, AND(CHOOSE(AlignmentType, 1=1, ROW()&gt;4, T22&gt;0), OR(AND(W22=V22, X23=TRUE), AND(T25=T24, U26=TRUE), AND(W25=V24, X26=TRUE) )  ) )</f>
        <v>0</v>
      </c>
      <c r="V23" s="27"/>
      <c r="W23" s="28"/>
      <c r="X23" s="26" t="b">
        <f ca="1">IF(AND(W22 = TrueAlignmentScore, CHOOSE(AlignmentType, AND(AA23="", X26=""), X26="", 3=3) ), TRUE, AND(CHOOSE(AlignmentType, 1=1, ROW()&gt;4, W22&gt;0), OR(AND(Z22=Y22, AA23=TRUE), AND(W25=W24, X26=TRUE), AND(Z25=Y24, AA26=TRUE) )  ) )</f>
        <v>0</v>
      </c>
      <c r="Y23" s="27"/>
      <c r="Z23" s="28"/>
      <c r="AA23" s="26" t="b">
        <f ca="1">IF(AND(Z22 = TrueAlignmentScore, CHOOSE(AlignmentType, AND(AD23="", AA26=""), AA26="", 3=3) ), TRUE, AND(CHOOSE(AlignmentType, 1=1, ROW()&gt;4, Z22&gt;0), OR(AND(AC22=AB22, AD23=TRUE), AND(Z25=Z24, AA26=TRUE), AND(AC25=AB24, AD26=TRUE) )  ) )</f>
        <v>0</v>
      </c>
      <c r="AB23" s="27"/>
      <c r="AC23" s="28"/>
      <c r="AD23" s="26" t="b">
        <f ca="1">IF(AND(AC22 = TrueAlignmentScore, CHOOSE(AlignmentType, AND(AG23="", AD26=""), AD26="", 3=3) ), TRUE, AND(CHOOSE(AlignmentType, 1=1, ROW()&gt;4, AC22&gt;0), OR(AND(AF22=AE22, AG23=TRUE), AND(AC25=AC24, AD26=TRUE), AND(AF25=AE24, AG26=TRUE) )  ) )</f>
        <v>0</v>
      </c>
      <c r="AE23" s="27"/>
      <c r="AF23" s="28"/>
      <c r="AG23" s="26" t="b">
        <f ca="1">IF(AND(AF22 = TrueAlignmentScore, CHOOSE(AlignmentType, AND(AJ23="", AG26=""), AG26="", 3=3) ), TRUE, AND(CHOOSE(AlignmentType, 1=1, ROW()&gt;4, AF22&gt;0), OR(AND(AI22=AH22, AJ23=TRUE), AND(AF25=AF24, AG26=TRUE), AND(AI25=AH24, AJ26=TRUE) )  ) )</f>
        <v>1</v>
      </c>
    </row>
    <row r="24" spans="1:33" s="1" customFormat="1">
      <c r="F24" s="34"/>
      <c r="G24"/>
      <c r="H24"/>
      <c r="I24"/>
      <c r="J24"/>
      <c r="K24"/>
      <c r="L24"/>
      <c r="M24"/>
      <c r="N24"/>
      <c r="O24"/>
      <c r="P24"/>
      <c r="Q24"/>
      <c r="R24"/>
      <c r="S24"/>
      <c r="T24"/>
      <c r="U24"/>
      <c r="V24"/>
      <c r="W24"/>
      <c r="X24"/>
      <c r="Y24"/>
      <c r="Z24"/>
      <c r="AA24"/>
      <c r="AB24"/>
      <c r="AC24"/>
      <c r="AD24"/>
      <c r="AE24"/>
      <c r="AF24"/>
    </row>
    <row r="25" spans="1:33" s="1" customFormat="1" ht="13" thickBot="1">
      <c r="F25" s="34"/>
      <c r="G25"/>
      <c r="H25"/>
      <c r="I25"/>
      <c r="J25"/>
      <c r="K25"/>
      <c r="L25"/>
      <c r="M25"/>
      <c r="N25"/>
      <c r="O25"/>
      <c r="P25"/>
      <c r="Q25"/>
      <c r="R25"/>
      <c r="S25"/>
      <c r="T25"/>
      <c r="U25"/>
      <c r="V25"/>
      <c r="W25"/>
      <c r="X25"/>
      <c r="Y25"/>
      <c r="Z25"/>
      <c r="AA25"/>
      <c r="AB25"/>
      <c r="AC25"/>
      <c r="AD25"/>
      <c r="AE25"/>
      <c r="AF25"/>
    </row>
    <row r="26" spans="1:33" s="1" customFormat="1" ht="13" thickBot="1">
      <c r="A26" s="149" t="s">
        <v>39</v>
      </c>
      <c r="B26" s="150"/>
      <c r="C26" s="150"/>
      <c r="D26" s="151"/>
      <c r="F26" s="34"/>
      <c r="G26"/>
      <c r="H26"/>
      <c r="I26"/>
      <c r="J26"/>
      <c r="K26"/>
      <c r="L26"/>
      <c r="M26"/>
      <c r="N26"/>
      <c r="O26"/>
      <c r="P26"/>
      <c r="Q26"/>
      <c r="R26"/>
      <c r="S26"/>
      <c r="T26"/>
      <c r="U26"/>
      <c r="V26"/>
      <c r="W26"/>
      <c r="X26"/>
      <c r="Y26"/>
      <c r="Z26"/>
      <c r="AA26"/>
      <c r="AB26"/>
      <c r="AC26"/>
      <c r="AD26"/>
      <c r="AE26"/>
      <c r="AF26"/>
    </row>
    <row r="27" spans="1:33" s="1" customFormat="1">
      <c r="A27" s="41" t="str">
        <f>'Worksheet 2 - Traceback'!A28</f>
        <v>Subject sequence:</v>
      </c>
      <c r="B27" s="42"/>
      <c r="C27" s="69" t="str">
        <f ca="1">Calculations!G39</f>
        <v>GACGCAGT</v>
      </c>
      <c r="D27" s="43"/>
      <c r="G27"/>
      <c r="H27"/>
      <c r="I27"/>
      <c r="J27"/>
      <c r="K27"/>
      <c r="L27"/>
      <c r="M27"/>
      <c r="N27"/>
      <c r="O27"/>
      <c r="P27"/>
      <c r="Q27"/>
      <c r="R27"/>
      <c r="S27"/>
      <c r="T27"/>
      <c r="U27"/>
      <c r="V27"/>
      <c r="W27"/>
      <c r="X27"/>
      <c r="Y27"/>
      <c r="Z27"/>
      <c r="AA27"/>
      <c r="AB27"/>
      <c r="AC27"/>
      <c r="AD27"/>
      <c r="AE27"/>
      <c r="AF27"/>
    </row>
    <row r="28" spans="1:33" s="1" customFormat="1" ht="13" thickBot="1">
      <c r="A28" s="48" t="str">
        <f>'Worksheet 2 - Traceback'!A29</f>
        <v>Query sequence:</v>
      </c>
      <c r="B28" s="49"/>
      <c r="C28" s="70" t="str">
        <f ca="1">Calculations!G40</f>
        <v>-ACCCA-T</v>
      </c>
      <c r="D28" s="50"/>
      <c r="G28"/>
      <c r="H28"/>
      <c r="I28"/>
      <c r="J28"/>
      <c r="K28"/>
      <c r="L28"/>
      <c r="M28"/>
      <c r="N28"/>
      <c r="O28"/>
      <c r="P28"/>
      <c r="Q28"/>
      <c r="R28"/>
      <c r="S28"/>
      <c r="T28"/>
      <c r="U28"/>
      <c r="V28"/>
      <c r="W28"/>
      <c r="X28"/>
      <c r="Y28"/>
      <c r="Z28"/>
      <c r="AA28"/>
      <c r="AB28"/>
      <c r="AC28"/>
      <c r="AD28"/>
      <c r="AE28"/>
      <c r="AF28"/>
    </row>
    <row r="29" spans="1:33" s="1" customFormat="1" ht="15" customHeight="1">
      <c r="A29" s="143" t="str">
        <f ca="1">IF(NumberOfOptimalAlignments&gt;1, "Multiple Optimal Alignments Exist:                   Only 1 Shown", "Unique Optimal Alignment")</f>
        <v>Unique Optimal Alignment</v>
      </c>
      <c r="B29" s="144"/>
      <c r="C29" s="144"/>
      <c r="D29" s="145"/>
      <c r="G29"/>
      <c r="H29"/>
      <c r="I29"/>
      <c r="J29"/>
      <c r="K29"/>
      <c r="L29"/>
      <c r="M29"/>
      <c r="N29"/>
      <c r="O29"/>
      <c r="P29"/>
      <c r="Q29"/>
      <c r="R29"/>
      <c r="S29"/>
      <c r="T29"/>
      <c r="U29"/>
      <c r="V29"/>
      <c r="W29"/>
      <c r="X29"/>
      <c r="Y29"/>
      <c r="Z29"/>
      <c r="AA29"/>
      <c r="AB29"/>
      <c r="AC29"/>
      <c r="AD29"/>
      <c r="AE29"/>
      <c r="AF29"/>
    </row>
    <row r="30" spans="1:33" s="1" customFormat="1" ht="13" thickBot="1">
      <c r="A30" s="146"/>
      <c r="B30" s="147"/>
      <c r="C30" s="147"/>
      <c r="D30" s="148"/>
      <c r="G30"/>
      <c r="H30"/>
      <c r="I30"/>
      <c r="J30"/>
      <c r="K30"/>
      <c r="L30"/>
      <c r="M30"/>
      <c r="N30"/>
      <c r="O30"/>
      <c r="P30"/>
      <c r="Q30"/>
      <c r="R30"/>
      <c r="S30"/>
      <c r="T30"/>
      <c r="U30"/>
      <c r="V30"/>
      <c r="W30"/>
      <c r="X30"/>
      <c r="Y30"/>
      <c r="Z30"/>
      <c r="AA30"/>
      <c r="AB30"/>
      <c r="AC30"/>
      <c r="AD30"/>
      <c r="AE30"/>
      <c r="AF30"/>
    </row>
    <row r="31" spans="1:33" s="1" customFormat="1">
      <c r="G31"/>
      <c r="H31"/>
      <c r="I31"/>
      <c r="J31"/>
      <c r="K31"/>
      <c r="L31"/>
      <c r="M31"/>
      <c r="N31"/>
      <c r="O31"/>
      <c r="P31"/>
      <c r="Q31"/>
      <c r="R31"/>
      <c r="S31"/>
      <c r="T31"/>
      <c r="U31"/>
      <c r="V31"/>
      <c r="W31"/>
      <c r="X31"/>
      <c r="Y31"/>
      <c r="Z31"/>
      <c r="AA31"/>
      <c r="AB31"/>
      <c r="AC31"/>
      <c r="AD31"/>
      <c r="AE31"/>
      <c r="AF31"/>
    </row>
    <row r="32" spans="1:33" s="1" customFormat="1">
      <c r="G32"/>
      <c r="H32"/>
      <c r="I32"/>
      <c r="J32"/>
      <c r="K32"/>
      <c r="L32"/>
      <c r="M32"/>
      <c r="N32"/>
      <c r="O32"/>
      <c r="P32"/>
      <c r="Q32"/>
      <c r="R32"/>
      <c r="S32"/>
      <c r="T32"/>
      <c r="U32"/>
      <c r="V32"/>
    </row>
    <row r="33" spans="7:22" s="1" customFormat="1">
      <c r="G33"/>
      <c r="H33"/>
      <c r="I33"/>
      <c r="J33"/>
      <c r="K33"/>
      <c r="L33"/>
      <c r="M33"/>
      <c r="N33"/>
      <c r="O33"/>
      <c r="P33"/>
      <c r="Q33"/>
      <c r="R33"/>
      <c r="S33"/>
      <c r="T33"/>
      <c r="U33"/>
      <c r="V33"/>
    </row>
    <row r="34" spans="7:22" s="1" customFormat="1">
      <c r="H34"/>
      <c r="I34"/>
      <c r="J34"/>
      <c r="K34"/>
      <c r="L34"/>
      <c r="M34"/>
      <c r="N34"/>
      <c r="O34"/>
      <c r="P34"/>
      <c r="Q34"/>
      <c r="R34"/>
      <c r="S34"/>
      <c r="T34"/>
      <c r="U34"/>
      <c r="V34"/>
    </row>
    <row r="35" spans="7:22" s="1" customFormat="1">
      <c r="G35"/>
      <c r="H35"/>
      <c r="I35"/>
      <c r="J35"/>
      <c r="K35"/>
      <c r="L35"/>
      <c r="M35"/>
      <c r="N35"/>
      <c r="O35"/>
      <c r="P35"/>
      <c r="Q35"/>
      <c r="R35"/>
      <c r="S35"/>
      <c r="T35"/>
      <c r="U35"/>
      <c r="V35"/>
    </row>
    <row r="36" spans="7:22" s="1" customFormat="1">
      <c r="U36"/>
      <c r="V36"/>
    </row>
  </sheetData>
  <mergeCells count="10">
    <mergeCell ref="A29:D30"/>
    <mergeCell ref="A26:D26"/>
    <mergeCell ref="Y2:AA2"/>
    <mergeCell ref="AB2:AD2"/>
    <mergeCell ref="AE2:AG2"/>
    <mergeCell ref="J2:L2"/>
    <mergeCell ref="M2:O2"/>
    <mergeCell ref="P2:R2"/>
    <mergeCell ref="S2:U2"/>
    <mergeCell ref="V2:X2"/>
  </mergeCells>
  <conditionalFormatting sqref="F6:F8">
    <cfRule type="expression" dxfId="136" priority="883">
      <formula>AlignmentType=3</formula>
    </cfRule>
    <cfRule type="expression" dxfId="135" priority="884">
      <formula>AlignmentType=1</formula>
    </cfRule>
  </conditionalFormatting>
  <conditionalFormatting sqref="J2">
    <cfRule type="expression" dxfId="134" priority="881">
      <formula>AlignmentType=3</formula>
    </cfRule>
    <cfRule type="expression" dxfId="133" priority="882">
      <formula>AlignmentType=1</formula>
    </cfRule>
  </conditionalFormatting>
  <conditionalFormatting sqref="A21:C23">
    <cfRule type="expression" dxfId="132" priority="819">
      <formula>AlignmentType=3</formula>
    </cfRule>
    <cfRule type="expression" dxfId="131" priority="820">
      <formula>AlignmentType=2</formula>
    </cfRule>
    <cfRule type="expression" dxfId="130" priority="821">
      <formula>AlignmentType=1</formula>
    </cfRule>
  </conditionalFormatting>
  <conditionalFormatting sqref="F10:F11">
    <cfRule type="expression" dxfId="129" priority="797">
      <formula>AlignmentType=3</formula>
    </cfRule>
    <cfRule type="expression" dxfId="128" priority="798">
      <formula>AlignmentType=1</formula>
    </cfRule>
  </conditionalFormatting>
  <conditionalFormatting sqref="F17">
    <cfRule type="expression" dxfId="127" priority="514">
      <formula>AlignmentType=3</formula>
    </cfRule>
    <cfRule type="expression" dxfId="126" priority="515">
      <formula>AlignmentType=1</formula>
    </cfRule>
  </conditionalFormatting>
  <conditionalFormatting sqref="F23">
    <cfRule type="expression" dxfId="125" priority="455">
      <formula>AlignmentType=3</formula>
    </cfRule>
    <cfRule type="expression" dxfId="124" priority="456">
      <formula>AlignmentType=1</formula>
    </cfRule>
  </conditionalFormatting>
  <conditionalFormatting sqref="AF22">
    <cfRule type="expression" dxfId="123" priority="222">
      <formula>AND(AG23, AlignmentType=3)</formula>
    </cfRule>
    <cfRule type="expression" dxfId="122" priority="223">
      <formula>AND(AG23, AlignmentType=2)</formula>
    </cfRule>
    <cfRule type="expression" dxfId="121" priority="226">
      <formula>AND(AG23, AlignmentType=1)</formula>
    </cfRule>
  </conditionalFormatting>
  <conditionalFormatting sqref="AG21:AG22">
    <cfRule type="expression" dxfId="120" priority="224">
      <formula>AlignmentType=3</formula>
    </cfRule>
    <cfRule type="expression" dxfId="119" priority="225">
      <formula>AlignmentType=1</formula>
    </cfRule>
  </conditionalFormatting>
  <conditionalFormatting sqref="AF22">
    <cfRule type="expression" dxfId="118" priority="227">
      <formula>AlignmentType=3</formula>
    </cfRule>
    <cfRule type="expression" dxfId="117" priority="228">
      <formula>AlignmentType=1</formula>
    </cfRule>
  </conditionalFormatting>
  <conditionalFormatting sqref="F9">
    <cfRule type="expression" dxfId="116" priority="207">
      <formula>AlignmentType=3</formula>
    </cfRule>
    <cfRule type="expression" dxfId="115" priority="208">
      <formula>AlignmentType=1</formula>
    </cfRule>
  </conditionalFormatting>
  <conditionalFormatting sqref="AE2">
    <cfRule type="expression" dxfId="114" priority="181">
      <formula>AlignmentType=3</formula>
    </cfRule>
    <cfRule type="expression" dxfId="113" priority="182">
      <formula>AlignmentType=1</formula>
    </cfRule>
  </conditionalFormatting>
  <conditionalFormatting sqref="F12:F14">
    <cfRule type="expression" dxfId="112" priority="205">
      <formula>AlignmentType=3</formula>
    </cfRule>
    <cfRule type="expression" dxfId="111" priority="206">
      <formula>AlignmentType=1</formula>
    </cfRule>
  </conditionalFormatting>
  <conditionalFormatting sqref="F16">
    <cfRule type="expression" dxfId="110" priority="203">
      <formula>AlignmentType=3</formula>
    </cfRule>
    <cfRule type="expression" dxfId="109" priority="204">
      <formula>AlignmentType=1</formula>
    </cfRule>
  </conditionalFormatting>
  <conditionalFormatting sqref="F15">
    <cfRule type="expression" dxfId="108" priority="201">
      <formula>AlignmentType=3</formula>
    </cfRule>
    <cfRule type="expression" dxfId="107" priority="202">
      <formula>AlignmentType=1</formula>
    </cfRule>
  </conditionalFormatting>
  <conditionalFormatting sqref="F18:F20">
    <cfRule type="expression" dxfId="106" priority="199">
      <formula>AlignmentType=3</formula>
    </cfRule>
    <cfRule type="expression" dxfId="105" priority="200">
      <formula>AlignmentType=1</formula>
    </cfRule>
  </conditionalFormatting>
  <conditionalFormatting sqref="F22">
    <cfRule type="expression" dxfId="104" priority="197">
      <formula>AlignmentType=3</formula>
    </cfRule>
    <cfRule type="expression" dxfId="103" priority="198">
      <formula>AlignmentType=1</formula>
    </cfRule>
  </conditionalFormatting>
  <conditionalFormatting sqref="F21">
    <cfRule type="expression" dxfId="102" priority="195">
      <formula>AlignmentType=3</formula>
    </cfRule>
    <cfRule type="expression" dxfId="101" priority="196">
      <formula>AlignmentType=1</formula>
    </cfRule>
  </conditionalFormatting>
  <conditionalFormatting sqref="M2">
    <cfRule type="expression" dxfId="100" priority="193">
      <formula>AlignmentType=3</formula>
    </cfRule>
    <cfRule type="expression" dxfId="99" priority="194">
      <formula>AlignmentType=1</formula>
    </cfRule>
  </conditionalFormatting>
  <conditionalFormatting sqref="P2">
    <cfRule type="expression" dxfId="98" priority="191">
      <formula>AlignmentType=3</formula>
    </cfRule>
    <cfRule type="expression" dxfId="97" priority="192">
      <formula>AlignmentType=1</formula>
    </cfRule>
  </conditionalFormatting>
  <conditionalFormatting sqref="S2">
    <cfRule type="expression" dxfId="96" priority="189">
      <formula>AlignmentType=3</formula>
    </cfRule>
    <cfRule type="expression" dxfId="95" priority="190">
      <formula>AlignmentType=1</formula>
    </cfRule>
  </conditionalFormatting>
  <conditionalFormatting sqref="V2">
    <cfRule type="expression" dxfId="94" priority="187">
      <formula>AlignmentType=3</formula>
    </cfRule>
    <cfRule type="expression" dxfId="93" priority="188">
      <formula>AlignmentType=1</formula>
    </cfRule>
  </conditionalFormatting>
  <conditionalFormatting sqref="Y2">
    <cfRule type="expression" dxfId="92" priority="185">
      <formula>AlignmentType=3</formula>
    </cfRule>
    <cfRule type="expression" dxfId="91" priority="186">
      <formula>AlignmentType=1</formula>
    </cfRule>
  </conditionalFormatting>
  <conditionalFormatting sqref="AB2">
    <cfRule type="expression" dxfId="90" priority="183">
      <formula>AlignmentType=3</formula>
    </cfRule>
    <cfRule type="expression" dxfId="89" priority="184">
      <formula>AlignmentType=1</formula>
    </cfRule>
  </conditionalFormatting>
  <conditionalFormatting sqref="H22 K22 N22 Q22 T22 W22 Z22 AC22">
    <cfRule type="expression" dxfId="88" priority="144">
      <formula>AND(I23, AlignmentType=3)</formula>
    </cfRule>
    <cfRule type="expression" dxfId="87" priority="145">
      <formula>AND(I23, AlignmentType=2)</formula>
    </cfRule>
    <cfRule type="expression" dxfId="86" priority="148">
      <formula>AND(I23, AlignmentType=1)</formula>
    </cfRule>
  </conditionalFormatting>
  <conditionalFormatting sqref="I21:I22 L21:L22 O21:O22 R21:R22 U21:U22 X21:X22 AA21:AA22 AD21:AD22">
    <cfRule type="expression" dxfId="85" priority="146">
      <formula>AlignmentType=3</formula>
    </cfRule>
    <cfRule type="expression" dxfId="84" priority="147">
      <formula>AlignmentType=1</formula>
    </cfRule>
  </conditionalFormatting>
  <conditionalFormatting sqref="H22 K22 N22 Q22 T22 W22 Z22 AC22">
    <cfRule type="expression" dxfId="83" priority="149">
      <formula>AlignmentType=3</formula>
    </cfRule>
    <cfRule type="expression" dxfId="82" priority="150">
      <formula>AlignmentType=1</formula>
    </cfRule>
  </conditionalFormatting>
  <conditionalFormatting sqref="L14 O14 R14 U14 X14 AA14 AD14 AG14">
    <cfRule type="expression" dxfId="81" priority="38">
      <formula>AlignmentType=3</formula>
    </cfRule>
    <cfRule type="expression" dxfId="80" priority="39">
      <formula>AlignmentType=1</formula>
    </cfRule>
  </conditionalFormatting>
  <conditionalFormatting sqref="G17:H17">
    <cfRule type="expression" dxfId="79" priority="36">
      <formula>AlignmentType=3</formula>
    </cfRule>
    <cfRule type="expression" dxfId="78" priority="37">
      <formula>AlignmentType=1</formula>
    </cfRule>
  </conditionalFormatting>
  <conditionalFormatting sqref="AF4 AF7 AF10 AF13 AF16 AF19">
    <cfRule type="expression" dxfId="77" priority="133">
      <formula>AND(AG5, AlignmentType=3)</formula>
    </cfRule>
    <cfRule type="expression" dxfId="76" priority="134">
      <formula>AND(AG5, AlignmentType=2)</formula>
    </cfRule>
    <cfRule type="expression" dxfId="75" priority="137">
      <formula>AND(AG5, AlignmentType=1)</formula>
    </cfRule>
  </conditionalFormatting>
  <conditionalFormatting sqref="AG3:AG4 AG6:AG7 AG9:AG10 AG12:AG13 AG15:AG16 AG18:AG19">
    <cfRule type="expression" dxfId="74" priority="135">
      <formula>AlignmentType=3</formula>
    </cfRule>
    <cfRule type="expression" dxfId="73" priority="136">
      <formula>AlignmentType=1</formula>
    </cfRule>
  </conditionalFormatting>
  <conditionalFormatting sqref="AF4 AF7 AF10 AF13 AF16 AF19">
    <cfRule type="expression" dxfId="72" priority="138">
      <formula>AlignmentType=3</formula>
    </cfRule>
    <cfRule type="expression" dxfId="71" priority="139">
      <formula>AlignmentType=1</formula>
    </cfRule>
  </conditionalFormatting>
  <conditionalFormatting sqref="H4 H7 H10 H13 H16 H19 K4 K7 K10 K13 K16 K19 N4 N7 N10 N13 N16 N19 Q4 Q7 Q10 Q13 Q16 Q19 T4 T7 T10 T13 T16 T19 W4 W7 W10 W13 W16 W19 Z4 Z7 Z10 Z13 Z16 Z19 AC4 AC7 AC10 AC13 AC16 AC19">
    <cfRule type="expression" dxfId="70" priority="122">
      <formula>AND(I5, AlignmentType=3)</formula>
    </cfRule>
    <cfRule type="expression" dxfId="69" priority="123">
      <formula>AND(I5, AlignmentType=2)</formula>
    </cfRule>
    <cfRule type="expression" dxfId="68" priority="126">
      <formula>AND(I5, AlignmentType=1)</formula>
    </cfRule>
  </conditionalFormatting>
  <conditionalFormatting sqref="I3:I4 I6:I7 I9:I10 I12:I13 I15:I16 I18:I19 L3:L4 L6:L7 L9:L10 L12:L13 L15:L16 L18:L19 O3:O4 O6:O7 O9:O10 O12:O13 O15:O16 O18:O19 R3:R4 R6:R7 R9:R10 R12:R13 R15:R16 R18:R19 U3:U4 U6:U7 U9:U10 U12:U13 U15:U16 U18:U19 X3:X4 X6:X7 X9:X10 X12:X13 X15:X16 X18:X19 AA3:AA4 AA6:AA7 AA9:AA10 AA12:AA13 AA15:AA16 AA18:AA19 AD3:AD4 AD6:AD7 AD9:AD10 AD12:AD13 AD15:AD16 AD18:AD19">
    <cfRule type="expression" dxfId="67" priority="124">
      <formula>AlignmentType=3</formula>
    </cfRule>
    <cfRule type="expression" dxfId="66" priority="125">
      <formula>AlignmentType=1</formula>
    </cfRule>
  </conditionalFormatting>
  <conditionalFormatting sqref="H4 H7 H10 H13 H16 H19 K4 K7 K10 K13 K16 K19 N4 N7 N10 N13 N16 N19 Q4 Q7 Q10 Q13 Q16 Q19 T4 T7 T10 T13 T16 T19 W4 W7 W10 W13 W16 W19 Z4 Z7 Z10 Z13 Z16 Z19 AC4 AC7 AC10 AC13 AC16 AC19">
    <cfRule type="expression" dxfId="65" priority="127">
      <formula>AlignmentType=3</formula>
    </cfRule>
    <cfRule type="expression" dxfId="64" priority="128">
      <formula>AlignmentType=1</formula>
    </cfRule>
  </conditionalFormatting>
  <conditionalFormatting sqref="G8:H8">
    <cfRule type="expression" dxfId="63" priority="60">
      <formula>AlignmentType=3</formula>
    </cfRule>
    <cfRule type="expression" dxfId="62" priority="61">
      <formula>AlignmentType=1</formula>
    </cfRule>
  </conditionalFormatting>
  <conditionalFormatting sqref="I8">
    <cfRule type="expression" dxfId="61" priority="58">
      <formula>AlignmentType=3</formula>
    </cfRule>
    <cfRule type="expression" dxfId="60" priority="59">
      <formula>AlignmentType=1</formula>
    </cfRule>
  </conditionalFormatting>
  <conditionalFormatting sqref="J5:K5 M5:N5 P5:Q5 S5:T5 V5:W5 Y5:Z5 AB5:AC5 AE5:AF5">
    <cfRule type="expression" dxfId="59" priority="64">
      <formula>AlignmentType=3</formula>
    </cfRule>
    <cfRule type="expression" dxfId="58" priority="65">
      <formula>AlignmentType=1</formula>
    </cfRule>
  </conditionalFormatting>
  <conditionalFormatting sqref="L5 O5 R5 U5 X5 AA5 AD5 AG5">
    <cfRule type="expression" dxfId="57" priority="62">
      <formula>AlignmentType=3</formula>
    </cfRule>
    <cfRule type="expression" dxfId="56" priority="63">
      <formula>AlignmentType=1</formula>
    </cfRule>
  </conditionalFormatting>
  <conditionalFormatting sqref="J11:K11 M11:N11 P11:Q11 S11:T11 V11:W11 Y11:Z11 AB11:AC11 AE11:AF11">
    <cfRule type="expression" dxfId="55" priority="48">
      <formula>AlignmentType=3</formula>
    </cfRule>
    <cfRule type="expression" dxfId="54" priority="49">
      <formula>AlignmentType=1</formula>
    </cfRule>
  </conditionalFormatting>
  <conditionalFormatting sqref="L11 O11 R11 U11 X11 AA11 AD11 AG11">
    <cfRule type="expression" dxfId="53" priority="46">
      <formula>AlignmentType=3</formula>
    </cfRule>
    <cfRule type="expression" dxfId="52" priority="47">
      <formula>AlignmentType=1</formula>
    </cfRule>
  </conditionalFormatting>
  <conditionalFormatting sqref="G14:H14">
    <cfRule type="expression" dxfId="51" priority="44">
      <formula>AlignmentType=3</formula>
    </cfRule>
    <cfRule type="expression" dxfId="50" priority="45">
      <formula>AlignmentType=1</formula>
    </cfRule>
  </conditionalFormatting>
  <conditionalFormatting sqref="I14">
    <cfRule type="expression" dxfId="49" priority="42">
      <formula>AlignmentType=3</formula>
    </cfRule>
    <cfRule type="expression" dxfId="48" priority="43">
      <formula>AlignmentType=1</formula>
    </cfRule>
  </conditionalFormatting>
  <conditionalFormatting sqref="J17:K17 M17:N17 P17:Q17 S17:T17 V17:W17 Y17:Z17 AB17:AC17 AE17:AF17">
    <cfRule type="expression" dxfId="47" priority="32">
      <formula>AlignmentType=3</formula>
    </cfRule>
    <cfRule type="expression" dxfId="46" priority="33">
      <formula>AlignmentType=1</formula>
    </cfRule>
  </conditionalFormatting>
  <conditionalFormatting sqref="L17 O17 R17 U17 X17 AA17 AD17 AG17">
    <cfRule type="expression" dxfId="45" priority="30">
      <formula>AlignmentType=3</formula>
    </cfRule>
    <cfRule type="expression" dxfId="44" priority="31">
      <formula>AlignmentType=1</formula>
    </cfRule>
  </conditionalFormatting>
  <conditionalFormatting sqref="G20:H20">
    <cfRule type="expression" dxfId="43" priority="28">
      <formula>AlignmentType=3</formula>
    </cfRule>
    <cfRule type="expression" dxfId="42" priority="29">
      <formula>AlignmentType=1</formula>
    </cfRule>
  </conditionalFormatting>
  <conditionalFormatting sqref="I20">
    <cfRule type="expression" dxfId="41" priority="26">
      <formula>AlignmentType=3</formula>
    </cfRule>
    <cfRule type="expression" dxfId="40" priority="27">
      <formula>AlignmentType=1</formula>
    </cfRule>
  </conditionalFormatting>
  <conditionalFormatting sqref="G23:H23">
    <cfRule type="expression" dxfId="39" priority="20">
      <formula>AlignmentType=3</formula>
    </cfRule>
    <cfRule type="expression" dxfId="38" priority="21">
      <formula>AlignmentType=1</formula>
    </cfRule>
  </conditionalFormatting>
  <conditionalFormatting sqref="I23">
    <cfRule type="expression" dxfId="37" priority="18">
      <formula>AlignmentType=3</formula>
    </cfRule>
    <cfRule type="expression" dxfId="36" priority="19">
      <formula>AlignmentType=1</formula>
    </cfRule>
  </conditionalFormatting>
  <conditionalFormatting sqref="G5:H5">
    <cfRule type="expression" dxfId="35" priority="68">
      <formula>AlignmentType=3</formula>
    </cfRule>
    <cfRule type="expression" dxfId="34" priority="69">
      <formula>AlignmentType=1</formula>
    </cfRule>
  </conditionalFormatting>
  <conditionalFormatting sqref="J8:K8 M8:N8 P8:Q8 S8:T8 V8:W8 Y8:Z8 AB8:AC8 AE8:AF8">
    <cfRule type="expression" dxfId="33" priority="56">
      <formula>AlignmentType=3</formula>
    </cfRule>
    <cfRule type="expression" dxfId="32" priority="57">
      <formula>AlignmentType=1</formula>
    </cfRule>
  </conditionalFormatting>
  <conditionalFormatting sqref="L8 O8 R8 U8 X8 AA8 AD8 AG8">
    <cfRule type="expression" dxfId="31" priority="54">
      <formula>AlignmentType=3</formula>
    </cfRule>
    <cfRule type="expression" dxfId="30" priority="55">
      <formula>AlignmentType=1</formula>
    </cfRule>
  </conditionalFormatting>
  <conditionalFormatting sqref="G11:H11">
    <cfRule type="expression" dxfId="29" priority="52">
      <formula>AlignmentType=3</formula>
    </cfRule>
    <cfRule type="expression" dxfId="28" priority="53">
      <formula>AlignmentType=1</formula>
    </cfRule>
  </conditionalFormatting>
  <conditionalFormatting sqref="I11">
    <cfRule type="expression" dxfId="27" priority="50">
      <formula>AlignmentType=3</formula>
    </cfRule>
    <cfRule type="expression" dxfId="26" priority="51">
      <formula>AlignmentType=1</formula>
    </cfRule>
  </conditionalFormatting>
  <conditionalFormatting sqref="J14:K14 M14:N14 P14:Q14 S14:T14 V14:W14 Y14:Z14 AB14:AC14 AE14:AF14">
    <cfRule type="expression" dxfId="25" priority="40">
      <formula>AlignmentType=3</formula>
    </cfRule>
    <cfRule type="expression" dxfId="24" priority="41">
      <formula>AlignmentType=1</formula>
    </cfRule>
  </conditionalFormatting>
  <conditionalFormatting sqref="I17">
    <cfRule type="expression" dxfId="23" priority="34">
      <formula>AlignmentType=3</formula>
    </cfRule>
    <cfRule type="expression" dxfId="22" priority="35">
      <formula>AlignmentType=1</formula>
    </cfRule>
  </conditionalFormatting>
  <conditionalFormatting sqref="J20:K20 M20:N20 P20:Q20 S20:T20 V20:W20 Y20:Z20 AB20:AC20 AE20:AF20">
    <cfRule type="expression" dxfId="21" priority="24">
      <formula>AlignmentType=3</formula>
    </cfRule>
    <cfRule type="expression" dxfId="20" priority="25">
      <formula>AlignmentType=1</formula>
    </cfRule>
  </conditionalFormatting>
  <conditionalFormatting sqref="L20 O20 R20 U20 X20 AA20 AD20 AG20">
    <cfRule type="expression" dxfId="19" priority="22">
      <formula>AlignmentType=3</formula>
    </cfRule>
    <cfRule type="expression" dxfId="18" priority="23">
      <formula>AlignmentType=1</formula>
    </cfRule>
  </conditionalFormatting>
  <conditionalFormatting sqref="J23:K23 M23:N23 P23:Q23 S23:T23 V23:W23 Y23:Z23 AB23:AC23 AE23:AF23">
    <cfRule type="expression" dxfId="17" priority="16">
      <formula>AlignmentType=3</formula>
    </cfRule>
    <cfRule type="expression" dxfId="16" priority="17">
      <formula>AlignmentType=1</formula>
    </cfRule>
  </conditionalFormatting>
  <conditionalFormatting sqref="L23 O23 R23 U23 X23 AA23 AD23 AG23">
    <cfRule type="expression" dxfId="15" priority="14">
      <formula>AlignmentType=3</formula>
    </cfRule>
    <cfRule type="expression" dxfId="14" priority="15">
      <formula>AlignmentType=1</formula>
    </cfRule>
  </conditionalFormatting>
  <conditionalFormatting sqref="A26">
    <cfRule type="expression" dxfId="13" priority="11">
      <formula>AlignmentType=1</formula>
    </cfRule>
    <cfRule type="expression" dxfId="12" priority="12">
      <formula>AlignmentType=2</formula>
    </cfRule>
    <cfRule type="expression" dxfId="11" priority="13">
      <formula>AlignmentType=3</formula>
    </cfRule>
  </conditionalFormatting>
  <conditionalFormatting sqref="A27:B28">
    <cfRule type="expression" dxfId="10" priority="8">
      <formula>AlignmentType=1</formula>
    </cfRule>
    <cfRule type="expression" dxfId="9" priority="9">
      <formula>AlignmentType=2</formula>
    </cfRule>
    <cfRule type="expression" dxfId="8" priority="10">
      <formula>AlignmentType=3</formula>
    </cfRule>
  </conditionalFormatting>
  <conditionalFormatting sqref="C27:D28">
    <cfRule type="expression" dxfId="7" priority="5">
      <formula>AlignmentType=1</formula>
    </cfRule>
    <cfRule type="expression" dxfId="6" priority="6">
      <formula>AlignmentType=2</formula>
    </cfRule>
    <cfRule type="expression" dxfId="5" priority="7">
      <formula>AlignmentType=3</formula>
    </cfRule>
  </conditionalFormatting>
  <conditionalFormatting sqref="I5">
    <cfRule type="expression" dxfId="4" priority="3">
      <formula>AlignmentType=3</formula>
    </cfRule>
    <cfRule type="expression" dxfId="3" priority="4">
      <formula>AlignmentType=1</formula>
    </cfRule>
  </conditionalFormatting>
  <conditionalFormatting sqref="A29:D30">
    <cfRule type="expression" dxfId="2" priority="1">
      <formula>NumberOfOptimalAlignments&gt;1</formula>
    </cfRule>
  </conditionalFormatting>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125" zoomScaleNormal="125" zoomScalePageLayoutView="125" workbookViewId="0">
      <pane ySplit="6040" topLeftCell="A29" activePane="bottomLeft"/>
      <selection activeCell="G12" sqref="G12:G41"/>
      <selection pane="bottomLeft" activeCell="H43" sqref="H43"/>
    </sheetView>
  </sheetViews>
  <sheetFormatPr baseColWidth="10" defaultRowHeight="12" x14ac:dyDescent="0"/>
  <cols>
    <col min="2" max="2" width="14.6640625" customWidth="1"/>
    <col min="6" max="6" width="17.83203125" customWidth="1"/>
    <col min="7" max="7" width="15.83203125" customWidth="1"/>
  </cols>
  <sheetData>
    <row r="1" spans="1:16">
      <c r="A1" s="56" t="s">
        <v>22</v>
      </c>
      <c r="B1" s="54" t="str">
        <f>CHOOSE(AlignmentType, ADDRESS(4, 8, , , "Solution"), ADDRESS(1+VLOOKUP(1, Calculations!$J$4:$L$66, 2, FALSE), 5+VLOOKUP(1, Calculations!$J$4:$L$66, 3, FALSE), , , "Solution"), ADDRESS(1+VLOOKUP(1, Calculations!$N$4:$P$66, 2, FALSE), 5+VLOOKUP(1, Calculations!$N$4:$P$66, 3, FALSE), , , "Solution") )</f>
        <v>Solution!$H$4</v>
      </c>
      <c r="C1" s="1"/>
      <c r="D1" s="1"/>
      <c r="E1" s="1"/>
      <c r="F1" s="1"/>
      <c r="G1" s="1"/>
      <c r="J1" s="55" t="s">
        <v>37</v>
      </c>
      <c r="N1" s="55" t="s">
        <v>38</v>
      </c>
      <c r="O1" s="55"/>
      <c r="P1" s="55"/>
    </row>
    <row r="2" spans="1:16">
      <c r="A2" s="1"/>
      <c r="B2" s="1"/>
      <c r="C2" s="1" t="s">
        <v>26</v>
      </c>
      <c r="D2" t="s">
        <v>27</v>
      </c>
      <c r="F2" s="1" t="s">
        <v>28</v>
      </c>
      <c r="G2" s="34">
        <f ca="1">3 - COUNTBLANK(B3:B5)</f>
        <v>1</v>
      </c>
      <c r="H2">
        <f ca="1">G2</f>
        <v>1</v>
      </c>
    </row>
    <row r="3" spans="1:16">
      <c r="A3" s="1" t="s">
        <v>23</v>
      </c>
      <c r="B3" s="1" t="str">
        <f ca="1">IF(AND(OFFSET(INDIRECT(StartingCell), 0, 3) = OFFSET(INDIRECT(StartingCell), 0, 2), OFFSET(INDIRECT(StartingCell), 1, 4)=TRUE ), ADDRESS( ROW(INDIRECT(StartingCell)), COLUMN(INDIRECT(StartingCell)) + 3, , , "Solution"), "" )</f>
        <v>Solution!$K$4</v>
      </c>
      <c r="C3" s="1" t="str">
        <f ca="1">INDIRECT( ADDRESS(2, COLUMN(INDIRECT(  ADDRESS( ROW(INDIRECT(StartingCell)), COLUMN(INDIRECT(StartingCell)) + 3, , , "Solution")  ))-1, , , "Solution") )</f>
        <v>G</v>
      </c>
      <c r="D3" s="1" t="s">
        <v>36</v>
      </c>
      <c r="E3" s="1"/>
      <c r="F3" t="s">
        <v>29</v>
      </c>
      <c r="G3" s="33" t="str">
        <f ca="1">IF(LEN(B3)&gt;0, B3, IF(LEN(B4)&gt;0, B4, B5))</f>
        <v>Solution!$K$4</v>
      </c>
      <c r="J3" s="56" t="s">
        <v>33</v>
      </c>
      <c r="K3" s="56" t="s">
        <v>32</v>
      </c>
      <c r="L3" s="56" t="s">
        <v>34</v>
      </c>
      <c r="M3" s="1"/>
      <c r="N3" s="55" t="s">
        <v>33</v>
      </c>
      <c r="O3" s="55" t="s">
        <v>32</v>
      </c>
      <c r="P3" s="55" t="s">
        <v>34</v>
      </c>
    </row>
    <row r="4" spans="1:16">
      <c r="A4" s="1" t="s">
        <v>24</v>
      </c>
      <c r="B4" s="1" t="str">
        <f ca="1">IF(AND(OFFSET(INDIRECT(StartingCell), 3, 0) = OFFSET(INDIRECT(StartingCell), 2, 0), OFFSET(INDIRECT(StartingCell), 4, 1)=TRUE ), ADDRESS( ROW(INDIRECT(StartingCell)) + 3, COLUMN(INDIRECT(StartingCell)), , , "Solution"), "" )</f>
        <v/>
      </c>
      <c r="C4" s="1" t="s">
        <v>36</v>
      </c>
      <c r="D4" s="1" t="str">
        <f ca="1" xml:space="preserve"> INDIRECT( ADDRESS(ROW(INDIRECT(  ADDRESS( ROW(INDIRECT(StartingCell)) + 3, COLUMN(INDIRECT(StartingCell)), , , "Solution")    ))-1, 6, , , "Solution") )</f>
        <v>A</v>
      </c>
      <c r="E4" s="1"/>
      <c r="F4" s="1" t="s">
        <v>30</v>
      </c>
      <c r="G4" s="35" t="str">
        <f ca="1">VLOOKUP(G3, B3:D5, 2, FALSE)</f>
        <v>G</v>
      </c>
      <c r="J4" s="57">
        <f ca="1">IF(OFFSET(Solution!$I$5, K4, L4)=TRUE, 1, 0)</f>
        <v>1</v>
      </c>
      <c r="K4" s="57">
        <v>0</v>
      </c>
      <c r="L4" s="57">
        <v>0</v>
      </c>
      <c r="M4" s="1"/>
      <c r="N4" s="57">
        <f ca="1">IF(OFFSET(Solution!$I$5, O4, P4)=TRUE, 1, 0)</f>
        <v>1</v>
      </c>
      <c r="O4" s="58">
        <v>0</v>
      </c>
      <c r="P4" s="58">
        <v>0</v>
      </c>
    </row>
    <row r="5" spans="1:16">
      <c r="A5" s="11" t="s">
        <v>25</v>
      </c>
      <c r="B5" s="1" t="str">
        <f ca="1">IF(AND(OFFSET(INDIRECT(StartingCell), 3, 3) = OFFSET(INDIRECT(StartingCell), 2, 2), OFFSET(INDIRECT(StartingCell), 4, 4)=TRUE ), ADDRESS( ROW(INDIRECT(StartingCell)) + 3, COLUMN(INDIRECT(StartingCell)) + 3, , , "Solution"), "" )</f>
        <v/>
      </c>
      <c r="C5" s="1" t="str">
        <f ca="1">C3</f>
        <v>G</v>
      </c>
      <c r="D5" s="1" t="str">
        <f ca="1">D4</f>
        <v>A</v>
      </c>
      <c r="E5" s="1"/>
      <c r="F5" s="1" t="s">
        <v>31</v>
      </c>
      <c r="G5" s="35" t="str">
        <f ca="1">VLOOKUP(G3, B3:D5, 3, FALSE)</f>
        <v>-</v>
      </c>
      <c r="J5" s="57">
        <f ca="1">IF(AND(SUM(J$4:J4)=0,OFFSET(Solution!$I$5, K5, L5)=TRUE), 1, 0)</f>
        <v>0</v>
      </c>
      <c r="K5" s="57">
        <v>0</v>
      </c>
      <c r="L5" s="57">
        <f t="shared" ref="L5:L12" si="0">L4+3</f>
        <v>3</v>
      </c>
      <c r="M5" s="1"/>
      <c r="N5" s="57">
        <f ca="1">IF(AND(SUM(N$4:N4)=0,OFFSET(Solution!$I$5, O5, P5)=TRUE), 1, 0)</f>
        <v>0</v>
      </c>
      <c r="O5" s="57">
        <v>0</v>
      </c>
      <c r="P5" s="57">
        <f t="shared" ref="P5:P12" si="1">P4+3</f>
        <v>3</v>
      </c>
    </row>
    <row r="6" spans="1:16">
      <c r="A6" s="1"/>
      <c r="B6" s="1"/>
      <c r="C6" s="1"/>
      <c r="D6" s="1"/>
      <c r="E6" s="1"/>
      <c r="F6" s="1"/>
      <c r="G6" s="35"/>
      <c r="J6" s="57">
        <f ca="1">IF(AND(SUM(J$4:J5)=0,OFFSET(Solution!$I$5, K6, L6)=TRUE), 1, 0)</f>
        <v>0</v>
      </c>
      <c r="K6" s="57">
        <v>0</v>
      </c>
      <c r="L6" s="57">
        <f t="shared" si="0"/>
        <v>6</v>
      </c>
      <c r="M6" s="1"/>
      <c r="N6" s="57">
        <f ca="1">IF(AND(SUM(N$4:N5)=0,OFFSET(Solution!$I$5, O6, P6)=TRUE), 1, 0)</f>
        <v>0</v>
      </c>
      <c r="O6" s="57">
        <v>0</v>
      </c>
      <c r="P6" s="57">
        <f t="shared" si="1"/>
        <v>6</v>
      </c>
    </row>
    <row r="7" spans="1:16">
      <c r="A7" s="1"/>
      <c r="B7" s="1"/>
      <c r="C7" s="1" t="s">
        <v>26</v>
      </c>
      <c r="D7" t="s">
        <v>27</v>
      </c>
      <c r="F7" s="1" t="s">
        <v>28</v>
      </c>
      <c r="G7" s="34">
        <f t="shared" ref="G7:G37" ca="1" si="2">3 - COUNTBLANK(B8:B10)</f>
        <v>1</v>
      </c>
      <c r="H7">
        <f ca="1">IF(ISERROR(G3), 0, IF(G3="", 0, G7) )</f>
        <v>1</v>
      </c>
      <c r="J7" s="57">
        <f ca="1">IF(AND(SUM(J$4:J6)=0,OFFSET(Solution!$I$5, K7, L7)=TRUE), 1, 0)</f>
        <v>0</v>
      </c>
      <c r="K7" s="57">
        <v>0</v>
      </c>
      <c r="L7" s="57">
        <f t="shared" si="0"/>
        <v>9</v>
      </c>
      <c r="M7" s="1"/>
      <c r="N7" s="57">
        <f ca="1">IF(AND(SUM(N$4:N6)=0,OFFSET(Solution!$I$5, O7, P7)=TRUE), 1, 0)</f>
        <v>0</v>
      </c>
      <c r="O7" s="57">
        <v>0</v>
      </c>
      <c r="P7" s="57">
        <f t="shared" si="1"/>
        <v>9</v>
      </c>
    </row>
    <row r="8" spans="1:16">
      <c r="A8" s="1" t="s">
        <v>23</v>
      </c>
      <c r="B8" s="1" t="str">
        <f t="shared" ref="B8" ca="1" si="3">IF(AND(OFFSET(INDIRECT(G3), 0, 3) = OFFSET(INDIRECT(G3), 0, 2), OFFSET(INDIRECT(G3), 1, 4)=TRUE ), ADDRESS( ROW(INDIRECT(G3)), COLUMN(INDIRECT(G3)) + 3, , , "Solution"), "" )</f>
        <v/>
      </c>
      <c r="C8" s="1" t="str">
        <f ca="1">INDIRECT( ADDRESS(2, COLUMN(INDIRECT(  ADDRESS( ROW(INDIRECT(G3)), COLUMN(INDIRECT(G3)) + 3, , , "Solution")  ))-1, , , "Solution") )</f>
        <v>A</v>
      </c>
      <c r="D8" s="1" t="s">
        <v>36</v>
      </c>
      <c r="E8" s="1"/>
      <c r="F8" t="s">
        <v>29</v>
      </c>
      <c r="G8" s="33" t="str">
        <f t="shared" ref="G8:G38" ca="1" si="4">IF(LEN(B8)&gt;0, B8, IF(LEN(B9)&gt;0, B9, B10))</f>
        <v>Solution!$N$7</v>
      </c>
      <c r="J8" s="57">
        <f ca="1">IF(AND(SUM(J$4:J7)=0,OFFSET(Solution!$I$5, K8, L8)=TRUE), 1, 0)</f>
        <v>0</v>
      </c>
      <c r="K8" s="57">
        <v>0</v>
      </c>
      <c r="L8" s="57">
        <f t="shared" si="0"/>
        <v>12</v>
      </c>
      <c r="M8" s="1"/>
      <c r="N8" s="57">
        <f ca="1">IF(AND(SUM(N$4:N7)=0,OFFSET(Solution!$I$5, O8, P8)=TRUE), 1, 0)</f>
        <v>0</v>
      </c>
      <c r="O8" s="57">
        <v>0</v>
      </c>
      <c r="P8" s="57">
        <f t="shared" si="1"/>
        <v>12</v>
      </c>
    </row>
    <row r="9" spans="1:16">
      <c r="A9" s="1" t="s">
        <v>24</v>
      </c>
      <c r="B9" s="1" t="str">
        <f t="shared" ref="B9" ca="1" si="5">IF(AND(OFFSET(INDIRECT(G3), 3, 0) = OFFSET(INDIRECT(G3), 2, 0), OFFSET(INDIRECT(G3), 4, 1)=TRUE ), ADDRESS( ROW(INDIRECT(G3)) + 3, COLUMN(INDIRECT(G3)), , , "Solution"), "" )</f>
        <v/>
      </c>
      <c r="C9" s="1" t="s">
        <v>36</v>
      </c>
      <c r="D9" s="1" t="str">
        <f ca="1" xml:space="preserve"> INDIRECT( ADDRESS(ROW(INDIRECT(  ADDRESS( ROW(INDIRECT(G3)) + 3, COLUMN(INDIRECT(G3)), , , "Solution")    ))-1, 6, , , "Solution") )</f>
        <v>A</v>
      </c>
      <c r="E9" s="1"/>
      <c r="F9" s="1" t="s">
        <v>30</v>
      </c>
      <c r="G9" s="35" t="str">
        <f ca="1">IF(AND(AlignmentType=2, RIGHT(G5, 1)="-", LEN(SUBSTITUTE(G5, "-", ""))=SeqB_Length), "", G4) &amp; IF(OR(G7=0, ISERROR(G8), LEN(G4)&gt;=COUNTIF(AlignmentMatrix, TRUE)), "", VLOOKUP(G8, B8:D10, 2, FALSE) )</f>
        <v>GA</v>
      </c>
      <c r="J9" s="57">
        <f ca="1">IF(AND(SUM(J$4:J8)=0,OFFSET(Solution!$I$5, K9, L9)=TRUE), 1, 0)</f>
        <v>0</v>
      </c>
      <c r="K9" s="57">
        <v>0</v>
      </c>
      <c r="L9" s="57">
        <f t="shared" si="0"/>
        <v>15</v>
      </c>
      <c r="M9" s="1"/>
      <c r="N9" s="57">
        <f ca="1">IF(AND(SUM(N$4:N8)=0,OFFSET(Solution!$I$5, O9, P9)=TRUE), 1, 0)</f>
        <v>0</v>
      </c>
      <c r="O9" s="57">
        <v>0</v>
      </c>
      <c r="P9" s="57">
        <f t="shared" si="1"/>
        <v>15</v>
      </c>
    </row>
    <row r="10" spans="1:16">
      <c r="A10" s="11" t="s">
        <v>25</v>
      </c>
      <c r="B10" s="1" t="str">
        <f t="shared" ref="B10" ca="1" si="6">IF(AND(OFFSET(INDIRECT(G3), 3, 3) = OFFSET(INDIRECT(G3), 2, 2), OFFSET(INDIRECT(G3), 4, 4)=TRUE ), ADDRESS( ROW(INDIRECT(G3)) + 3, COLUMN(INDIRECT(G3)) + 3, , , "Solution"), "" )</f>
        <v>Solution!$N$7</v>
      </c>
      <c r="C10" s="1" t="str">
        <f ca="1">C8</f>
        <v>A</v>
      </c>
      <c r="D10" s="1" t="str">
        <f ca="1">D9</f>
        <v>A</v>
      </c>
      <c r="E10" s="1"/>
      <c r="F10" s="1" t="s">
        <v>31</v>
      </c>
      <c r="G10" s="35" t="str">
        <f ca="1">IF(AND(AlignmentType=2, RIGHT(G5, 1)="-", LEN(SUBSTITUTE(G5, "-", ""))=SeqB_Length), "", G5)  &amp; IF(OR(G7=0, ISERROR(G8), LEN(G4)&gt;=COUNTIF(AlignmentMatrix, TRUE)), "", VLOOKUP(G8, B8:D10, 3, FALSE) )</f>
        <v>-A</v>
      </c>
      <c r="J10" s="57">
        <f ca="1">IF(AND(SUM(J$4:J9)=0,OFFSET(Solution!$I$5, K10, L10)=TRUE), 1, 0)</f>
        <v>0</v>
      </c>
      <c r="K10" s="57">
        <v>0</v>
      </c>
      <c r="L10" s="57">
        <f t="shared" si="0"/>
        <v>18</v>
      </c>
      <c r="M10" s="1"/>
      <c r="N10" s="57">
        <f ca="1">IF(AND(SUM(N$4:N9)=0,OFFSET(Solution!$I$5, O10, P10)=TRUE), 1, 0)</f>
        <v>0</v>
      </c>
      <c r="O10" s="57">
        <v>0</v>
      </c>
      <c r="P10" s="57">
        <f t="shared" si="1"/>
        <v>18</v>
      </c>
    </row>
    <row r="11" spans="1:16">
      <c r="A11" s="1"/>
      <c r="B11" s="1"/>
      <c r="C11" s="1"/>
      <c r="D11" s="1"/>
      <c r="G11" s="35"/>
      <c r="J11" s="57">
        <f ca="1">IF(AND(SUM(J$4:J10)=0,OFFSET(Solution!$I$5, K11, L11)=TRUE), 1, 0)</f>
        <v>0</v>
      </c>
      <c r="K11" s="57">
        <v>0</v>
      </c>
      <c r="L11" s="57">
        <f t="shared" si="0"/>
        <v>21</v>
      </c>
      <c r="M11" s="1"/>
      <c r="N11" s="57">
        <f ca="1">IF(AND(SUM(N$4:N10)=0,OFFSET(Solution!$I$5, O11, P11)=TRUE), 1, 0)</f>
        <v>0</v>
      </c>
      <c r="O11" s="57">
        <v>0</v>
      </c>
      <c r="P11" s="57">
        <f t="shared" si="1"/>
        <v>21</v>
      </c>
    </row>
    <row r="12" spans="1:16">
      <c r="A12" s="1"/>
      <c r="B12" s="1"/>
      <c r="C12" s="1" t="s">
        <v>26</v>
      </c>
      <c r="D12" t="s">
        <v>27</v>
      </c>
      <c r="F12" s="1" t="s">
        <v>28</v>
      </c>
      <c r="G12" s="34">
        <f t="shared" ca="1" si="2"/>
        <v>1</v>
      </c>
      <c r="H12">
        <f t="shared" ref="H12" ca="1" si="7">IF(ISERROR(G8), 0, IF(G8="", 0, G12) )</f>
        <v>1</v>
      </c>
      <c r="J12" s="57">
        <f ca="1">IF(AND(SUM(J$4:J11)=0,OFFSET(Solution!$I$5, K12, L12)=TRUE), 1, 0)</f>
        <v>0</v>
      </c>
      <c r="K12" s="57">
        <v>0</v>
      </c>
      <c r="L12" s="57">
        <f t="shared" si="0"/>
        <v>24</v>
      </c>
      <c r="M12" s="1"/>
      <c r="N12" s="57">
        <f ca="1">IF(AND(SUM(N$4:N11)=0,OFFSET(Solution!$I$5, O12, P12)=TRUE), 1, 0)</f>
        <v>0</v>
      </c>
      <c r="O12" s="57">
        <v>0</v>
      </c>
      <c r="P12" s="57">
        <f t="shared" si="1"/>
        <v>24</v>
      </c>
    </row>
    <row r="13" spans="1:16">
      <c r="A13" s="1" t="s">
        <v>23</v>
      </c>
      <c r="B13" s="1" t="str">
        <f t="shared" ref="B13" ca="1" si="8">IF(AND(OFFSET(INDIRECT(G8), 0, 3) = OFFSET(INDIRECT(G8), 0, 2), OFFSET(INDIRECT(G8), 1, 4)=TRUE ), ADDRESS( ROW(INDIRECT(G8)), COLUMN(INDIRECT(G8)) + 3, , , "Solution"), "" )</f>
        <v/>
      </c>
      <c r="C13" s="1" t="str">
        <f t="shared" ref="C13" ca="1" si="9">INDIRECT( ADDRESS(2, COLUMN(INDIRECT(  ADDRESS( ROW(INDIRECT(G8)), COLUMN(INDIRECT(G8)) + 3, , , "Solution")  ))-1, , , "Solution") )</f>
        <v>C</v>
      </c>
      <c r="D13" s="1" t="s">
        <v>36</v>
      </c>
      <c r="E13" s="1"/>
      <c r="F13" t="s">
        <v>29</v>
      </c>
      <c r="G13" s="33" t="str">
        <f t="shared" ca="1" si="4"/>
        <v>Solution!$Q$10</v>
      </c>
      <c r="J13" s="57">
        <f ca="1">IF(AND(SUM(J$4:J12)=0,OFFSET(Solution!$I$5, K13, L13)=TRUE), 1, 0)</f>
        <v>0</v>
      </c>
      <c r="K13" s="57">
        <f>K12+3</f>
        <v>3</v>
      </c>
      <c r="L13" s="57">
        <v>0</v>
      </c>
      <c r="M13" s="1"/>
      <c r="N13" s="57">
        <f ca="1">IF(AND(SUM(N$4:N12)=0,OFFSET(Solution!$I$5, O13, P13)=TRUE), 1, 0)</f>
        <v>0</v>
      </c>
      <c r="O13" s="57">
        <f>O12+3</f>
        <v>3</v>
      </c>
      <c r="P13" s="57">
        <v>0</v>
      </c>
    </row>
    <row r="14" spans="1:16">
      <c r="A14" s="1" t="s">
        <v>24</v>
      </c>
      <c r="B14" s="1" t="str">
        <f t="shared" ref="B14" ca="1" si="10">IF(AND(OFFSET(INDIRECT(G8), 3, 0) = OFFSET(INDIRECT(G8), 2, 0), OFFSET(INDIRECT(G8), 4, 1)=TRUE ), ADDRESS( ROW(INDIRECT(G8)) + 3, COLUMN(INDIRECT(G8)), , , "Solution"), "" )</f>
        <v/>
      </c>
      <c r="C14" s="1" t="s">
        <v>36</v>
      </c>
      <c r="D14" s="1" t="str">
        <f t="shared" ref="D14" ca="1" si="11" xml:space="preserve"> INDIRECT( ADDRESS(ROW(INDIRECT(  ADDRESS( ROW(INDIRECT(G8)) + 3, COLUMN(INDIRECT(G8)), , , "Solution")    ))-1, 6, , , "Solution") )</f>
        <v>C</v>
      </c>
      <c r="E14" s="1"/>
      <c r="F14" s="1" t="s">
        <v>30</v>
      </c>
      <c r="G14" s="35" t="str">
        <f ca="1">IF(AND(AlignmentType=2, RIGHT(G10, 1)="-", LEN(SUBSTITUTE(G10, "-", ""))=SeqB_Length), "", G9) &amp; IF(OR(G12=0, ISERROR(G13), LEN(G9)&gt;=COUNTIF(AlignmentMatrix, TRUE)), "", VLOOKUP(G13, B13:D15, 2, FALSE) )</f>
        <v>GAC</v>
      </c>
      <c r="J14" s="57">
        <f ca="1">IF(AND(SUM(J$4:J13)=0,OFFSET(Solution!$I$5, K14, L14)=TRUE), 1, 0)</f>
        <v>0</v>
      </c>
      <c r="K14" s="57">
        <f t="shared" ref="K14:K21" si="12">K13</f>
        <v>3</v>
      </c>
      <c r="L14" s="57">
        <f t="shared" ref="L14:L21" si="13">L13+3</f>
        <v>3</v>
      </c>
      <c r="M14" s="1"/>
      <c r="N14" s="57">
        <f ca="1">IF(AND(SUM(N$4:N13)=0,OFFSET(Solution!$I$5, O14, P14)=TRUE), 1, 0)</f>
        <v>0</v>
      </c>
      <c r="O14" s="57">
        <f t="shared" ref="O14:O21" si="14">O13</f>
        <v>3</v>
      </c>
      <c r="P14" s="57">
        <f t="shared" ref="P14:P21" si="15">P13+3</f>
        <v>3</v>
      </c>
    </row>
    <row r="15" spans="1:16">
      <c r="A15" s="11" t="s">
        <v>25</v>
      </c>
      <c r="B15" s="1" t="str">
        <f t="shared" ref="B15" ca="1" si="16">IF(AND(OFFSET(INDIRECT(G8), 3, 3) = OFFSET(INDIRECT(G8), 2, 2), OFFSET(INDIRECT(G8), 4, 4)=TRUE ), ADDRESS( ROW(INDIRECT(G8)) + 3, COLUMN(INDIRECT(G8)) + 3, , , "Solution"), "" )</f>
        <v>Solution!$Q$10</v>
      </c>
      <c r="C15" s="1" t="str">
        <f t="shared" ref="C15" ca="1" si="17">C13</f>
        <v>C</v>
      </c>
      <c r="D15" s="1" t="str">
        <f t="shared" ref="D15" ca="1" si="18">D14</f>
        <v>C</v>
      </c>
      <c r="E15" s="1"/>
      <c r="F15" s="1" t="s">
        <v>31</v>
      </c>
      <c r="G15" s="35" t="str">
        <f ca="1">IF(AND(AlignmentType=2, RIGHT(G10, 1)="-", LEN(SUBSTITUTE(G10, "-", ""))=SeqB_Length), "", G10)  &amp; IF(OR(G12=0, ISERROR(G13), LEN(G9)&gt;=COUNTIF(AlignmentMatrix, TRUE)), "", VLOOKUP(G13, B13:D15, 3, FALSE) )</f>
        <v>-AC</v>
      </c>
      <c r="J15" s="57">
        <f ca="1">IF(AND(SUM(J$4:J14)=0,OFFSET(Solution!$I$5, K15, L15)=TRUE), 1, 0)</f>
        <v>0</v>
      </c>
      <c r="K15" s="57">
        <f t="shared" si="12"/>
        <v>3</v>
      </c>
      <c r="L15" s="57">
        <f t="shared" si="13"/>
        <v>6</v>
      </c>
      <c r="M15" s="1"/>
      <c r="N15" s="57">
        <f ca="1">IF(AND(SUM(N$4:N14)=0,OFFSET(Solution!$I$5, O15, P15)=TRUE), 1, 0)</f>
        <v>0</v>
      </c>
      <c r="O15" s="57">
        <f t="shared" si="14"/>
        <v>3</v>
      </c>
      <c r="P15" s="57">
        <f t="shared" si="15"/>
        <v>6</v>
      </c>
    </row>
    <row r="16" spans="1:16">
      <c r="A16" s="1"/>
      <c r="B16" s="1"/>
      <c r="C16" s="1"/>
      <c r="D16" s="1"/>
      <c r="G16" s="35"/>
      <c r="J16" s="57">
        <f ca="1">IF(AND(SUM(J$4:J15)=0,OFFSET(Solution!$I$5, K16, L16)=TRUE), 1, 0)</f>
        <v>0</v>
      </c>
      <c r="K16" s="57">
        <f t="shared" si="12"/>
        <v>3</v>
      </c>
      <c r="L16" s="57">
        <f t="shared" si="13"/>
        <v>9</v>
      </c>
      <c r="M16" s="1"/>
      <c r="N16" s="57">
        <f ca="1">IF(AND(SUM(N$4:N15)=0,OFFSET(Solution!$I$5, O16, P16)=TRUE), 1, 0)</f>
        <v>0</v>
      </c>
      <c r="O16" s="57">
        <f t="shared" si="14"/>
        <v>3</v>
      </c>
      <c r="P16" s="57">
        <f t="shared" si="15"/>
        <v>9</v>
      </c>
    </row>
    <row r="17" spans="1:16">
      <c r="A17" s="1"/>
      <c r="B17" s="1"/>
      <c r="C17" s="1" t="s">
        <v>26</v>
      </c>
      <c r="D17" t="s">
        <v>27</v>
      </c>
      <c r="F17" s="1" t="s">
        <v>28</v>
      </c>
      <c r="G17" s="34">
        <f t="shared" ca="1" si="2"/>
        <v>1</v>
      </c>
      <c r="H17">
        <f t="shared" ref="H17" ca="1" si="19">IF(ISERROR(G13), 0, IF(G13="", 0, G17) )</f>
        <v>1</v>
      </c>
      <c r="J17" s="57">
        <f ca="1">IF(AND(SUM(J$4:J16)=0,OFFSET(Solution!$I$5, K17, L17)=TRUE), 1, 0)</f>
        <v>0</v>
      </c>
      <c r="K17" s="57">
        <f t="shared" si="12"/>
        <v>3</v>
      </c>
      <c r="L17" s="57">
        <f t="shared" si="13"/>
        <v>12</v>
      </c>
      <c r="M17" s="1"/>
      <c r="N17" s="57">
        <f ca="1">IF(AND(SUM(N$4:N16)=0,OFFSET(Solution!$I$5, O17, P17)=TRUE), 1, 0)</f>
        <v>0</v>
      </c>
      <c r="O17" s="57">
        <f t="shared" si="14"/>
        <v>3</v>
      </c>
      <c r="P17" s="57">
        <f t="shared" si="15"/>
        <v>12</v>
      </c>
    </row>
    <row r="18" spans="1:16">
      <c r="A18" s="1" t="s">
        <v>23</v>
      </c>
      <c r="B18" s="1" t="str">
        <f t="shared" ref="B18" ca="1" si="20">IF(AND(OFFSET(INDIRECT(G13), 0, 3) = OFFSET(INDIRECT(G13), 0, 2), OFFSET(INDIRECT(G13), 1, 4)=TRUE ), ADDRESS( ROW(INDIRECT(G13)), COLUMN(INDIRECT(G13)) + 3, , , "Solution"), "" )</f>
        <v/>
      </c>
      <c r="C18" s="1" t="str">
        <f t="shared" ref="C18" ca="1" si="21">INDIRECT( ADDRESS(2, COLUMN(INDIRECT(  ADDRESS( ROW(INDIRECT(G13)), COLUMN(INDIRECT(G13)) + 3, , , "Solution")  ))-1, , , "Solution") )</f>
        <v>G</v>
      </c>
      <c r="D18" s="1" t="s">
        <v>36</v>
      </c>
      <c r="E18" s="1"/>
      <c r="F18" t="s">
        <v>29</v>
      </c>
      <c r="G18" s="33" t="str">
        <f t="shared" ca="1" si="4"/>
        <v>Solution!$T$13</v>
      </c>
      <c r="J18" s="57">
        <f ca="1">IF(AND(SUM(J$4:J17)=0,OFFSET(Solution!$I$5, K18, L18)=TRUE), 1, 0)</f>
        <v>0</v>
      </c>
      <c r="K18" s="57">
        <f t="shared" si="12"/>
        <v>3</v>
      </c>
      <c r="L18" s="57">
        <f t="shared" si="13"/>
        <v>15</v>
      </c>
      <c r="M18" s="1"/>
      <c r="N18" s="57">
        <f ca="1">IF(AND(SUM(N$4:N17)=0,OFFSET(Solution!$I$5, O18, P18)=TRUE), 1, 0)</f>
        <v>0</v>
      </c>
      <c r="O18" s="57">
        <f t="shared" si="14"/>
        <v>3</v>
      </c>
      <c r="P18" s="57">
        <f t="shared" si="15"/>
        <v>15</v>
      </c>
    </row>
    <row r="19" spans="1:16">
      <c r="A19" s="1" t="s">
        <v>24</v>
      </c>
      <c r="B19" s="1" t="str">
        <f t="shared" ref="B19" ca="1" si="22">IF(AND(OFFSET(INDIRECT(G13), 3, 0) = OFFSET(INDIRECT(G13), 2, 0), OFFSET(INDIRECT(G13), 4, 1)=TRUE ), ADDRESS( ROW(INDIRECT(G13)) + 3, COLUMN(INDIRECT(G13)), , , "Solution"), "" )</f>
        <v/>
      </c>
      <c r="C19" s="1" t="s">
        <v>36</v>
      </c>
      <c r="D19" s="1" t="str">
        <f t="shared" ref="D19" ca="1" si="23" xml:space="preserve"> INDIRECT( ADDRESS(ROW(INDIRECT(  ADDRESS( ROW(INDIRECT(G13)) + 3, COLUMN(INDIRECT(G13)), , , "Solution")    ))-1, 6, , , "Solution") )</f>
        <v>C</v>
      </c>
      <c r="E19" s="1"/>
      <c r="F19" s="1" t="s">
        <v>30</v>
      </c>
      <c r="G19" s="35" t="str">
        <f ca="1">IF(AND(AlignmentType=2, RIGHT(G15, 1)="-", LEN(SUBSTITUTE(G15, "-", ""))=SeqB_Length), "", G14) &amp; IF(OR(G17=0, ISERROR(G18), LEN(G14)&gt;=COUNTIF(AlignmentMatrix, TRUE)), "", VLOOKUP(G18, B18:D20, 2, FALSE) )</f>
        <v>GACG</v>
      </c>
      <c r="J19" s="57">
        <f ca="1">IF(AND(SUM(J$4:J18)=0,OFFSET(Solution!$I$5, K19, L19)=TRUE), 1, 0)</f>
        <v>0</v>
      </c>
      <c r="K19" s="57">
        <f t="shared" si="12"/>
        <v>3</v>
      </c>
      <c r="L19" s="57">
        <f t="shared" si="13"/>
        <v>18</v>
      </c>
      <c r="M19" s="1"/>
      <c r="N19" s="57">
        <f ca="1">IF(AND(SUM(N$4:N18)=0,OFFSET(Solution!$I$5, O19, P19)=TRUE), 1, 0)</f>
        <v>0</v>
      </c>
      <c r="O19" s="57">
        <f t="shared" si="14"/>
        <v>3</v>
      </c>
      <c r="P19" s="57">
        <f t="shared" si="15"/>
        <v>18</v>
      </c>
    </row>
    <row r="20" spans="1:16">
      <c r="A20" s="11" t="s">
        <v>25</v>
      </c>
      <c r="B20" s="1" t="str">
        <f t="shared" ref="B20" ca="1" si="24">IF(AND(OFFSET(INDIRECT(G13), 3, 3) = OFFSET(INDIRECT(G13), 2, 2), OFFSET(INDIRECT(G13), 4, 4)=TRUE ), ADDRESS( ROW(INDIRECT(G13)) + 3, COLUMN(INDIRECT(G13)) + 3, , , "Solution"), "" )</f>
        <v>Solution!$T$13</v>
      </c>
      <c r="C20" s="1" t="str">
        <f t="shared" ref="C20" ca="1" si="25">C18</f>
        <v>G</v>
      </c>
      <c r="D20" s="1" t="str">
        <f t="shared" ref="D20" ca="1" si="26">D19</f>
        <v>C</v>
      </c>
      <c r="E20" s="1"/>
      <c r="F20" s="1" t="s">
        <v>31</v>
      </c>
      <c r="G20" s="35" t="str">
        <f ca="1">IF(AND(AlignmentType=2, RIGHT(G15, 1)="-", LEN(SUBSTITUTE(G15, "-", ""))=SeqB_Length), "", G15)  &amp; IF(OR(G17=0, ISERROR(G18), LEN(G14)&gt;=COUNTIF(AlignmentMatrix, TRUE)), "", VLOOKUP(G18, B18:D20, 3, FALSE) )</f>
        <v>-ACC</v>
      </c>
      <c r="J20" s="57">
        <f ca="1">IF(AND(SUM(J$4:J19)=0,OFFSET(Solution!$I$5, K20, L20)=TRUE), 1, 0)</f>
        <v>0</v>
      </c>
      <c r="K20" s="57">
        <f t="shared" si="12"/>
        <v>3</v>
      </c>
      <c r="L20" s="57">
        <f t="shared" si="13"/>
        <v>21</v>
      </c>
      <c r="M20" s="1"/>
      <c r="N20" s="57">
        <f ca="1">IF(AND(SUM(N$4:N19)=0,OFFSET(Solution!$I$5, O20, P20)=TRUE), 1, 0)</f>
        <v>0</v>
      </c>
      <c r="O20" s="57">
        <f t="shared" si="14"/>
        <v>3</v>
      </c>
      <c r="P20" s="57">
        <f t="shared" si="15"/>
        <v>21</v>
      </c>
    </row>
    <row r="21" spans="1:16">
      <c r="A21" s="1"/>
      <c r="B21" s="1"/>
      <c r="C21" s="1"/>
      <c r="D21" s="1"/>
      <c r="G21" s="35"/>
      <c r="J21" s="57">
        <f ca="1">IF(AND(SUM(J$4:J20)=0,OFFSET(Solution!$I$5, K21, L21)=TRUE), 1, 0)</f>
        <v>0</v>
      </c>
      <c r="K21" s="57">
        <f t="shared" si="12"/>
        <v>3</v>
      </c>
      <c r="L21" s="57">
        <f t="shared" si="13"/>
        <v>24</v>
      </c>
      <c r="M21" s="1"/>
      <c r="N21" s="57">
        <f ca="1">IF(AND(SUM(N$4:N20)=0,OFFSET(Solution!$I$5, O21, P21)=TRUE), 1, 0)</f>
        <v>0</v>
      </c>
      <c r="O21" s="57">
        <f t="shared" si="14"/>
        <v>3</v>
      </c>
      <c r="P21" s="57">
        <f t="shared" si="15"/>
        <v>24</v>
      </c>
    </row>
    <row r="22" spans="1:16">
      <c r="A22" s="1"/>
      <c r="B22" s="1"/>
      <c r="C22" s="1" t="s">
        <v>26</v>
      </c>
      <c r="D22" t="s">
        <v>27</v>
      </c>
      <c r="F22" s="1" t="s">
        <v>28</v>
      </c>
      <c r="G22" s="34">
        <f t="shared" ca="1" si="2"/>
        <v>1</v>
      </c>
      <c r="H22">
        <f t="shared" ref="H22" ca="1" si="27">IF(ISERROR(G18), 0, IF(G18="", 0, G22) )</f>
        <v>1</v>
      </c>
      <c r="J22" s="57">
        <f ca="1">IF(AND(SUM(J$4:J21)=0,OFFSET(Solution!$I$5, K22, L22)=TRUE), 1, 0)</f>
        <v>0</v>
      </c>
      <c r="K22" s="57">
        <f>K21+3</f>
        <v>6</v>
      </c>
      <c r="L22" s="57">
        <v>0</v>
      </c>
      <c r="M22" s="1"/>
      <c r="N22" s="57">
        <f ca="1">IF(AND(SUM(N$4:N21)=0,OFFSET(Solution!$I$5, O22, P22)=TRUE), 1, 0)</f>
        <v>0</v>
      </c>
      <c r="O22" s="57">
        <f>O21+3</f>
        <v>6</v>
      </c>
      <c r="P22" s="57">
        <v>0</v>
      </c>
    </row>
    <row r="23" spans="1:16">
      <c r="A23" s="1" t="s">
        <v>23</v>
      </c>
      <c r="B23" s="1" t="str">
        <f t="shared" ref="B23" ca="1" si="28">IF(AND(OFFSET(INDIRECT(G18), 0, 3) = OFFSET(INDIRECT(G18), 0, 2), OFFSET(INDIRECT(G18), 1, 4)=TRUE ), ADDRESS( ROW(INDIRECT(G18)), COLUMN(INDIRECT(G18)) + 3, , , "Solution"), "" )</f>
        <v/>
      </c>
      <c r="C23" s="1" t="str">
        <f t="shared" ref="C23" ca="1" si="29">INDIRECT( ADDRESS(2, COLUMN(INDIRECT(  ADDRESS( ROW(INDIRECT(G18)), COLUMN(INDIRECT(G18)) + 3, , , "Solution")  ))-1, , , "Solution") )</f>
        <v>C</v>
      </c>
      <c r="D23" s="1" t="s">
        <v>36</v>
      </c>
      <c r="E23" s="1"/>
      <c r="F23" t="s">
        <v>29</v>
      </c>
      <c r="G23" s="33" t="str">
        <f t="shared" ca="1" si="4"/>
        <v>Solution!$W$16</v>
      </c>
      <c r="J23" s="57">
        <f ca="1">IF(AND(SUM(J$4:J22)=0,OFFSET(Solution!$I$5, K23, L23)=TRUE), 1, 0)</f>
        <v>0</v>
      </c>
      <c r="K23" s="57">
        <f t="shared" ref="K23:K30" si="30">K22</f>
        <v>6</v>
      </c>
      <c r="L23" s="57">
        <f t="shared" ref="L23:L30" si="31">L22+3</f>
        <v>3</v>
      </c>
      <c r="M23" s="1"/>
      <c r="N23" s="57">
        <f ca="1">IF(AND(SUM(N$4:N22)=0,OFFSET(Solution!$I$5, O23, P23)=TRUE), 1, 0)</f>
        <v>0</v>
      </c>
      <c r="O23" s="57">
        <f t="shared" ref="O23:O30" si="32">O22</f>
        <v>6</v>
      </c>
      <c r="P23" s="57">
        <f t="shared" ref="P23:P30" si="33">P22+3</f>
        <v>3</v>
      </c>
    </row>
    <row r="24" spans="1:16">
      <c r="A24" s="1" t="s">
        <v>24</v>
      </c>
      <c r="B24" s="1" t="str">
        <f t="shared" ref="B24" ca="1" si="34">IF(AND(OFFSET(INDIRECT(G18), 3, 0) = OFFSET(INDIRECT(G18), 2, 0), OFFSET(INDIRECT(G18), 4, 1)=TRUE ), ADDRESS( ROW(INDIRECT(G18)) + 3, COLUMN(INDIRECT(G18)), , , "Solution"), "" )</f>
        <v/>
      </c>
      <c r="C24" s="1" t="s">
        <v>36</v>
      </c>
      <c r="D24" s="1" t="str">
        <f t="shared" ref="D24" ca="1" si="35" xml:space="preserve"> INDIRECT( ADDRESS(ROW(INDIRECT(  ADDRESS( ROW(INDIRECT(G18)) + 3, COLUMN(INDIRECT(G18)), , , "Solution")    ))-1, 6, , , "Solution") )</f>
        <v>C</v>
      </c>
      <c r="E24" s="1"/>
      <c r="F24" s="1" t="s">
        <v>30</v>
      </c>
      <c r="G24" s="35" t="str">
        <f ca="1">IF(AND(AlignmentType=2, RIGHT(G20, 1)="-", LEN(SUBSTITUTE(G20, "-", ""))=SeqB_Length), "", G19) &amp; IF(OR(G22=0, ISERROR(G23), LEN(G19)&gt;=COUNTIF(AlignmentMatrix, TRUE)), "", VLOOKUP(G23, B23:D25, 2, FALSE) )</f>
        <v>GACGC</v>
      </c>
      <c r="J24" s="57">
        <f ca="1">IF(AND(SUM(J$4:J23)=0,OFFSET(Solution!$I$5, K24, L24)=TRUE), 1, 0)</f>
        <v>0</v>
      </c>
      <c r="K24" s="57">
        <f t="shared" si="30"/>
        <v>6</v>
      </c>
      <c r="L24" s="57">
        <f t="shared" si="31"/>
        <v>6</v>
      </c>
      <c r="M24" s="1"/>
      <c r="N24" s="57">
        <f ca="1">IF(AND(SUM(N$4:N23)=0,OFFSET(Solution!$I$5, O24, P24)=TRUE), 1, 0)</f>
        <v>0</v>
      </c>
      <c r="O24" s="57">
        <f t="shared" si="32"/>
        <v>6</v>
      </c>
      <c r="P24" s="57">
        <f t="shared" si="33"/>
        <v>6</v>
      </c>
    </row>
    <row r="25" spans="1:16">
      <c r="A25" s="11" t="s">
        <v>25</v>
      </c>
      <c r="B25" s="1" t="str">
        <f t="shared" ref="B25" ca="1" si="36">IF(AND(OFFSET(INDIRECT(G18), 3, 3) = OFFSET(INDIRECT(G18), 2, 2), OFFSET(INDIRECT(G18), 4, 4)=TRUE ), ADDRESS( ROW(INDIRECT(G18)) + 3, COLUMN(INDIRECT(G18)) + 3, , , "Solution"), "" )</f>
        <v>Solution!$W$16</v>
      </c>
      <c r="C25" s="1" t="str">
        <f t="shared" ref="C25" ca="1" si="37">C23</f>
        <v>C</v>
      </c>
      <c r="D25" s="1" t="str">
        <f t="shared" ref="D25" ca="1" si="38">D24</f>
        <v>C</v>
      </c>
      <c r="E25" s="1"/>
      <c r="F25" s="1" t="s">
        <v>31</v>
      </c>
      <c r="G25" s="35" t="str">
        <f ca="1">IF(AND(AlignmentType=2, RIGHT(G20, 1)="-", LEN(SUBSTITUTE(G20, "-", ""))=SeqB_Length), "", G20)  &amp; IF(OR(G22=0, ISERROR(G23), LEN(G19)&gt;=COUNTIF(AlignmentMatrix, TRUE)), "", VLOOKUP(G23, B23:D25, 3, FALSE) )</f>
        <v>-ACCC</v>
      </c>
      <c r="J25" s="57">
        <f ca="1">IF(AND(SUM(J$4:J24)=0,OFFSET(Solution!$I$5, K25, L25)=TRUE), 1, 0)</f>
        <v>0</v>
      </c>
      <c r="K25" s="57">
        <f t="shared" si="30"/>
        <v>6</v>
      </c>
      <c r="L25" s="57">
        <f t="shared" si="31"/>
        <v>9</v>
      </c>
      <c r="M25" s="1"/>
      <c r="N25" s="57">
        <f ca="1">IF(AND(SUM(N$4:N24)=0,OFFSET(Solution!$I$5, O25, P25)=TRUE), 1, 0)</f>
        <v>0</v>
      </c>
      <c r="O25" s="57">
        <f t="shared" si="32"/>
        <v>6</v>
      </c>
      <c r="P25" s="57">
        <f t="shared" si="33"/>
        <v>9</v>
      </c>
    </row>
    <row r="26" spans="1:16">
      <c r="A26" s="1"/>
      <c r="B26" s="1"/>
      <c r="C26" s="1"/>
      <c r="D26" s="1"/>
      <c r="G26" s="35"/>
      <c r="J26" s="57">
        <f ca="1">IF(AND(SUM(J$4:J25)=0,OFFSET(Solution!$I$5, K26, L26)=TRUE), 1, 0)</f>
        <v>0</v>
      </c>
      <c r="K26" s="57">
        <f t="shared" si="30"/>
        <v>6</v>
      </c>
      <c r="L26" s="57">
        <f t="shared" si="31"/>
        <v>12</v>
      </c>
      <c r="M26" s="1"/>
      <c r="N26" s="57">
        <f ca="1">IF(AND(SUM(N$4:N25)=0,OFFSET(Solution!$I$5, O26, P26)=TRUE), 1, 0)</f>
        <v>0</v>
      </c>
      <c r="O26" s="57">
        <f t="shared" si="32"/>
        <v>6</v>
      </c>
      <c r="P26" s="57">
        <f t="shared" si="33"/>
        <v>12</v>
      </c>
    </row>
    <row r="27" spans="1:16">
      <c r="A27" s="1"/>
      <c r="B27" s="1"/>
      <c r="C27" s="1" t="s">
        <v>26</v>
      </c>
      <c r="D27" t="s">
        <v>27</v>
      </c>
      <c r="F27" s="1" t="s">
        <v>28</v>
      </c>
      <c r="G27" s="34">
        <f t="shared" ca="1" si="2"/>
        <v>1</v>
      </c>
      <c r="H27">
        <f t="shared" ref="H27" ca="1" si="39">IF(ISERROR(G23), 0, IF(G23="", 0, G27) )</f>
        <v>1</v>
      </c>
      <c r="J27" s="57">
        <f ca="1">IF(AND(SUM(J$4:J26)=0,OFFSET(Solution!$I$5, K27, L27)=TRUE), 1, 0)</f>
        <v>0</v>
      </c>
      <c r="K27" s="57">
        <f t="shared" si="30"/>
        <v>6</v>
      </c>
      <c r="L27" s="57">
        <f t="shared" si="31"/>
        <v>15</v>
      </c>
      <c r="M27" s="1"/>
      <c r="N27" s="57">
        <f ca="1">IF(AND(SUM(N$4:N26)=0,OFFSET(Solution!$I$5, O27, P27)=TRUE), 1, 0)</f>
        <v>0</v>
      </c>
      <c r="O27" s="57">
        <f t="shared" si="32"/>
        <v>6</v>
      </c>
      <c r="P27" s="57">
        <f t="shared" si="33"/>
        <v>15</v>
      </c>
    </row>
    <row r="28" spans="1:16">
      <c r="A28" s="1" t="s">
        <v>23</v>
      </c>
      <c r="B28" s="1" t="str">
        <f t="shared" ref="B28" ca="1" si="40">IF(AND(OFFSET(INDIRECT(G23), 0, 3) = OFFSET(INDIRECT(G23), 0, 2), OFFSET(INDIRECT(G23), 1, 4)=TRUE ), ADDRESS( ROW(INDIRECT(G23)), COLUMN(INDIRECT(G23)) + 3, , , "Solution"), "" )</f>
        <v/>
      </c>
      <c r="C28" s="1" t="str">
        <f t="shared" ref="C28" ca="1" si="41">INDIRECT( ADDRESS(2, COLUMN(INDIRECT(  ADDRESS( ROW(INDIRECT(G23)), COLUMN(INDIRECT(G23)) + 3, , , "Solution")  ))-1, , , "Solution") )</f>
        <v>A</v>
      </c>
      <c r="D28" s="1" t="s">
        <v>36</v>
      </c>
      <c r="E28" s="1"/>
      <c r="F28" t="s">
        <v>29</v>
      </c>
      <c r="G28" s="33" t="str">
        <f t="shared" ca="1" si="4"/>
        <v>Solution!$Z$19</v>
      </c>
      <c r="J28" s="57">
        <f ca="1">IF(AND(SUM(J$4:J27)=0,OFFSET(Solution!$I$5, K28, L28)=TRUE), 1, 0)</f>
        <v>0</v>
      </c>
      <c r="K28" s="57">
        <f t="shared" si="30"/>
        <v>6</v>
      </c>
      <c r="L28" s="57">
        <f t="shared" si="31"/>
        <v>18</v>
      </c>
      <c r="M28" s="1"/>
      <c r="N28" s="57">
        <f ca="1">IF(AND(SUM(N$4:N27)=0,OFFSET(Solution!$I$5, O28, P28)=TRUE), 1, 0)</f>
        <v>0</v>
      </c>
      <c r="O28" s="57">
        <f t="shared" si="32"/>
        <v>6</v>
      </c>
      <c r="P28" s="57">
        <f t="shared" si="33"/>
        <v>18</v>
      </c>
    </row>
    <row r="29" spans="1:16">
      <c r="A29" s="1" t="s">
        <v>24</v>
      </c>
      <c r="B29" s="1" t="str">
        <f t="shared" ref="B29" ca="1" si="42">IF(AND(OFFSET(INDIRECT(G23), 3, 0) = OFFSET(INDIRECT(G23), 2, 0), OFFSET(INDIRECT(G23), 4, 1)=TRUE ), ADDRESS( ROW(INDIRECT(G23)) + 3, COLUMN(INDIRECT(G23)), , , "Solution"), "" )</f>
        <v/>
      </c>
      <c r="C29" s="1" t="s">
        <v>36</v>
      </c>
      <c r="D29" s="1" t="str">
        <f t="shared" ref="D29" ca="1" si="43" xml:space="preserve"> INDIRECT( ADDRESS(ROW(INDIRECT(  ADDRESS( ROW(INDIRECT(G23)) + 3, COLUMN(INDIRECT(G23)), , , "Solution")    ))-1, 6, , , "Solution") )</f>
        <v>A</v>
      </c>
      <c r="E29" s="1"/>
      <c r="F29" s="1" t="s">
        <v>30</v>
      </c>
      <c r="G29" s="35" t="str">
        <f ca="1">IF(AND(AlignmentType=2, RIGHT(G25, 1)="-", LEN(SUBSTITUTE(G25, "-", ""))=SeqB_Length), "", G24) &amp; IF(OR(G27=0, ISERROR(G28), LEN(G24)&gt;=COUNTIF(AlignmentMatrix, TRUE)), "", VLOOKUP(G28, B28:D30, 2, FALSE) )</f>
        <v>GACGCA</v>
      </c>
      <c r="J29" s="57">
        <f ca="1">IF(AND(SUM(J$4:J28)=0,OFFSET(Solution!$I$5, K29, L29)=TRUE), 1, 0)</f>
        <v>0</v>
      </c>
      <c r="K29" s="57">
        <f t="shared" si="30"/>
        <v>6</v>
      </c>
      <c r="L29" s="57">
        <f t="shared" si="31"/>
        <v>21</v>
      </c>
      <c r="M29" s="1"/>
      <c r="N29" s="57">
        <f ca="1">IF(AND(SUM(N$4:N28)=0,OFFSET(Solution!$I$5, O29, P29)=TRUE), 1, 0)</f>
        <v>0</v>
      </c>
      <c r="O29" s="57">
        <f t="shared" si="32"/>
        <v>6</v>
      </c>
      <c r="P29" s="57">
        <f t="shared" si="33"/>
        <v>21</v>
      </c>
    </row>
    <row r="30" spans="1:16">
      <c r="A30" s="11" t="s">
        <v>25</v>
      </c>
      <c r="B30" s="1" t="str">
        <f t="shared" ref="B30" ca="1" si="44">IF(AND(OFFSET(INDIRECT(G23), 3, 3) = OFFSET(INDIRECT(G23), 2, 2), OFFSET(INDIRECT(G23), 4, 4)=TRUE ), ADDRESS( ROW(INDIRECT(G23)) + 3, COLUMN(INDIRECT(G23)) + 3, , , "Solution"), "" )</f>
        <v>Solution!$Z$19</v>
      </c>
      <c r="C30" s="1" t="str">
        <f t="shared" ref="C30" ca="1" si="45">C28</f>
        <v>A</v>
      </c>
      <c r="D30" s="1" t="str">
        <f t="shared" ref="D30" ca="1" si="46">D29</f>
        <v>A</v>
      </c>
      <c r="E30" s="1"/>
      <c r="F30" s="1" t="s">
        <v>31</v>
      </c>
      <c r="G30" s="35" t="str">
        <f ca="1">IF(AND(AlignmentType=2, RIGHT(G25, 1)="-", LEN(SUBSTITUTE(G25, "-", ""))=SeqB_Length), "", G25)  &amp; IF(OR(G27=0, ISERROR(G28), LEN(G24)&gt;=COUNTIF(AlignmentMatrix, TRUE)), "", VLOOKUP(G28, B28:D30, 3, FALSE) )</f>
        <v>-ACCCA</v>
      </c>
      <c r="J30" s="57">
        <f ca="1">IF(AND(SUM(J$4:J29)=0,OFFSET(Solution!$I$5, K30, L30)=TRUE), 1, 0)</f>
        <v>0</v>
      </c>
      <c r="K30" s="57">
        <f t="shared" si="30"/>
        <v>6</v>
      </c>
      <c r="L30" s="57">
        <f t="shared" si="31"/>
        <v>24</v>
      </c>
      <c r="M30" s="1"/>
      <c r="N30" s="57">
        <f ca="1">IF(AND(SUM(N$4:N29)=0,OFFSET(Solution!$I$5, O30, P30)=TRUE), 1, 0)</f>
        <v>0</v>
      </c>
      <c r="O30" s="57">
        <f t="shared" si="32"/>
        <v>6</v>
      </c>
      <c r="P30" s="57">
        <f t="shared" si="33"/>
        <v>24</v>
      </c>
    </row>
    <row r="31" spans="1:16">
      <c r="A31" s="1"/>
      <c r="B31" s="1"/>
      <c r="C31" s="1"/>
      <c r="D31" s="1"/>
      <c r="G31" s="35"/>
      <c r="J31" s="57">
        <f ca="1">IF(AND(SUM(J$4:J30)=0,OFFSET(Solution!$I$5, K31, L31)=TRUE), 1, 0)</f>
        <v>0</v>
      </c>
      <c r="K31" s="57">
        <f>K30+3</f>
        <v>9</v>
      </c>
      <c r="L31" s="57">
        <v>0</v>
      </c>
      <c r="M31" s="1"/>
      <c r="N31" s="57">
        <f ca="1">IF(AND(SUM(N$4:N30)=0,OFFSET(Solution!$I$5, O31, P31)=TRUE), 1, 0)</f>
        <v>0</v>
      </c>
      <c r="O31" s="57">
        <f>O30+3</f>
        <v>9</v>
      </c>
      <c r="P31" s="57">
        <v>0</v>
      </c>
    </row>
    <row r="32" spans="1:16">
      <c r="A32" s="1"/>
      <c r="B32" s="1"/>
      <c r="C32" s="1" t="s">
        <v>26</v>
      </c>
      <c r="D32" t="s">
        <v>27</v>
      </c>
      <c r="F32" s="1" t="s">
        <v>28</v>
      </c>
      <c r="G32" s="34">
        <f t="shared" ca="1" si="2"/>
        <v>1</v>
      </c>
      <c r="H32">
        <f t="shared" ref="H32" ca="1" si="47">IF(ISERROR(G28), 0, IF(G28="", 0, G32) )</f>
        <v>1</v>
      </c>
      <c r="J32" s="57">
        <f ca="1">IF(AND(SUM(J$4:J31)=0,OFFSET(Solution!$I$5, K32, L32)=TRUE), 1, 0)</f>
        <v>0</v>
      </c>
      <c r="K32" s="57">
        <f t="shared" ref="K32:K39" si="48">K31</f>
        <v>9</v>
      </c>
      <c r="L32" s="57">
        <f t="shared" ref="L32:L39" si="49">L31+3</f>
        <v>3</v>
      </c>
      <c r="M32" s="1"/>
      <c r="N32" s="57">
        <f ca="1">IF(AND(SUM(N$4:N31)=0,OFFSET(Solution!$I$5, O32, P32)=TRUE), 1, 0)</f>
        <v>0</v>
      </c>
      <c r="O32" s="57">
        <f t="shared" ref="O32:O39" si="50">O31</f>
        <v>9</v>
      </c>
      <c r="P32" s="57">
        <f t="shared" ref="P32:P39" si="51">P31+3</f>
        <v>3</v>
      </c>
    </row>
    <row r="33" spans="1:16">
      <c r="A33" s="1" t="s">
        <v>23</v>
      </c>
      <c r="B33" s="1" t="str">
        <f t="shared" ref="B33" ca="1" si="52">IF(AND(OFFSET(INDIRECT(G28), 0, 3) = OFFSET(INDIRECT(G28), 0, 2), OFFSET(INDIRECT(G28), 1, 4)=TRUE ), ADDRESS( ROW(INDIRECT(G28)), COLUMN(INDIRECT(G28)) + 3, , , "Solution"), "" )</f>
        <v>Solution!$AC$19</v>
      </c>
      <c r="C33" s="1" t="str">
        <f t="shared" ref="C33" ca="1" si="53">INDIRECT( ADDRESS(2, COLUMN(INDIRECT(  ADDRESS( ROW(INDIRECT(G28)), COLUMN(INDIRECT(G28)) + 3, , , "Solution")  ))-1, , , "Solution") )</f>
        <v>G</v>
      </c>
      <c r="D33" s="1" t="s">
        <v>36</v>
      </c>
      <c r="E33" s="1"/>
      <c r="F33" t="s">
        <v>29</v>
      </c>
      <c r="G33" s="33" t="str">
        <f t="shared" ca="1" si="4"/>
        <v>Solution!$AC$19</v>
      </c>
      <c r="J33" s="57">
        <f ca="1">IF(AND(SUM(J$4:J32)=0,OFFSET(Solution!$I$5, K33, L33)=TRUE), 1, 0)</f>
        <v>0</v>
      </c>
      <c r="K33" s="57">
        <f t="shared" si="48"/>
        <v>9</v>
      </c>
      <c r="L33" s="57">
        <f t="shared" si="49"/>
        <v>6</v>
      </c>
      <c r="M33" s="1"/>
      <c r="N33" s="57">
        <f ca="1">IF(AND(SUM(N$4:N32)=0,OFFSET(Solution!$I$5, O33, P33)=TRUE), 1, 0)</f>
        <v>0</v>
      </c>
      <c r="O33" s="57">
        <f t="shared" si="50"/>
        <v>9</v>
      </c>
      <c r="P33" s="57">
        <f t="shared" si="51"/>
        <v>6</v>
      </c>
    </row>
    <row r="34" spans="1:16">
      <c r="A34" s="1" t="s">
        <v>24</v>
      </c>
      <c r="B34" s="1" t="str">
        <f t="shared" ref="B34" ca="1" si="54">IF(AND(OFFSET(INDIRECT(G28), 3, 0) = OFFSET(INDIRECT(G28), 2, 0), OFFSET(INDIRECT(G28), 4, 1)=TRUE ), ADDRESS( ROW(INDIRECT(G28)) + 3, COLUMN(INDIRECT(G28)), , , "Solution"), "" )</f>
        <v/>
      </c>
      <c r="C34" s="1" t="s">
        <v>36</v>
      </c>
      <c r="D34" s="1" t="str">
        <f t="shared" ref="D34" ca="1" si="55" xml:space="preserve"> INDIRECT( ADDRESS(ROW(INDIRECT(  ADDRESS( ROW(INDIRECT(G28)) + 3, COLUMN(INDIRECT(G28)), , , "Solution")    ))-1, 6, , , "Solution") )</f>
        <v>T</v>
      </c>
      <c r="E34" s="1"/>
      <c r="F34" s="1" t="s">
        <v>30</v>
      </c>
      <c r="G34" s="35" t="str">
        <f ca="1">IF(AND(AlignmentType=2, RIGHT(G30, 1)="-", LEN(SUBSTITUTE(G30, "-", ""))=SeqB_Length), "", G29) &amp; IF(OR(G32=0, ISERROR(G33), LEN(G29)&gt;=COUNTIF(AlignmentMatrix, TRUE)), "", VLOOKUP(G33, B33:D35, 2, FALSE) )</f>
        <v>GACGCAG</v>
      </c>
      <c r="J34" s="57">
        <f ca="1">IF(AND(SUM(J$4:J33)=0,OFFSET(Solution!$I$5, K34, L34)=TRUE), 1, 0)</f>
        <v>0</v>
      </c>
      <c r="K34" s="57">
        <f t="shared" si="48"/>
        <v>9</v>
      </c>
      <c r="L34" s="57">
        <f t="shared" si="49"/>
        <v>9</v>
      </c>
      <c r="M34" s="1"/>
      <c r="N34" s="57">
        <f ca="1">IF(AND(SUM(N$4:N33)=0,OFFSET(Solution!$I$5, O34, P34)=TRUE), 1, 0)</f>
        <v>0</v>
      </c>
      <c r="O34" s="57">
        <f t="shared" si="50"/>
        <v>9</v>
      </c>
      <c r="P34" s="57">
        <f t="shared" si="51"/>
        <v>9</v>
      </c>
    </row>
    <row r="35" spans="1:16">
      <c r="A35" s="11" t="s">
        <v>25</v>
      </c>
      <c r="B35" s="1" t="str">
        <f t="shared" ref="B35" ca="1" si="56">IF(AND(OFFSET(INDIRECT(G28), 3, 3) = OFFSET(INDIRECT(G28), 2, 2), OFFSET(INDIRECT(G28), 4, 4)=TRUE ), ADDRESS( ROW(INDIRECT(G28)) + 3, COLUMN(INDIRECT(G28)) + 3, , , "Solution"), "" )</f>
        <v/>
      </c>
      <c r="C35" s="1" t="str">
        <f t="shared" ref="C35" ca="1" si="57">C33</f>
        <v>G</v>
      </c>
      <c r="D35" s="1" t="str">
        <f t="shared" ref="D35" ca="1" si="58">D34</f>
        <v>T</v>
      </c>
      <c r="E35" s="1"/>
      <c r="F35" s="1" t="s">
        <v>31</v>
      </c>
      <c r="G35" s="35" t="str">
        <f ca="1">IF(AND(AlignmentType=2, RIGHT(G30, 1)="-", LEN(SUBSTITUTE(G30, "-", ""))=SeqB_Length), "", G30)  &amp; IF(OR(G32=0, ISERROR(G33), LEN(G29)&gt;=COUNTIF(AlignmentMatrix, TRUE)), "", VLOOKUP(G33, B33:D35, 3, FALSE) )</f>
        <v>-ACCCA-</v>
      </c>
      <c r="J35" s="57">
        <f ca="1">IF(AND(SUM(J$4:J34)=0,OFFSET(Solution!$I$5, K35, L35)=TRUE), 1, 0)</f>
        <v>0</v>
      </c>
      <c r="K35" s="57">
        <f t="shared" si="48"/>
        <v>9</v>
      </c>
      <c r="L35" s="57">
        <f t="shared" si="49"/>
        <v>12</v>
      </c>
      <c r="M35" s="1"/>
      <c r="N35" s="57">
        <f ca="1">IF(AND(SUM(N$4:N34)=0,OFFSET(Solution!$I$5, O35, P35)=TRUE), 1, 0)</f>
        <v>0</v>
      </c>
      <c r="O35" s="57">
        <f t="shared" si="50"/>
        <v>9</v>
      </c>
      <c r="P35" s="57">
        <f t="shared" si="51"/>
        <v>12</v>
      </c>
    </row>
    <row r="36" spans="1:16">
      <c r="A36" s="1"/>
      <c r="B36" s="1"/>
      <c r="C36" s="1"/>
      <c r="D36" s="1"/>
      <c r="G36" s="35"/>
      <c r="J36" s="57">
        <f ca="1">IF(AND(SUM(J$4:J35)=0,OFFSET(Solution!$I$5, K36, L36)=TRUE), 1, 0)</f>
        <v>0</v>
      </c>
      <c r="K36" s="57">
        <f t="shared" si="48"/>
        <v>9</v>
      </c>
      <c r="L36" s="57">
        <f t="shared" si="49"/>
        <v>15</v>
      </c>
      <c r="M36" s="1"/>
      <c r="N36" s="57">
        <f ca="1">IF(AND(SUM(N$4:N35)=0,OFFSET(Solution!$I$5, O36, P36)=TRUE), 1, 0)</f>
        <v>0</v>
      </c>
      <c r="O36" s="57">
        <f t="shared" si="50"/>
        <v>9</v>
      </c>
      <c r="P36" s="57">
        <f t="shared" si="51"/>
        <v>15</v>
      </c>
    </row>
    <row r="37" spans="1:16">
      <c r="A37" s="1"/>
      <c r="B37" s="1"/>
      <c r="C37" s="1" t="s">
        <v>26</v>
      </c>
      <c r="D37" t="s">
        <v>27</v>
      </c>
      <c r="F37" s="1" t="s">
        <v>28</v>
      </c>
      <c r="G37" s="34">
        <f t="shared" ca="1" si="2"/>
        <v>1</v>
      </c>
      <c r="H37">
        <f t="shared" ref="H37" ca="1" si="59">IF(ISERROR(G33), 0, IF(G33="", 0, G37) )</f>
        <v>1</v>
      </c>
      <c r="J37" s="57">
        <f ca="1">IF(AND(SUM(J$4:J36)=0,OFFSET(Solution!$I$5, K37, L37)=TRUE), 1, 0)</f>
        <v>0</v>
      </c>
      <c r="K37" s="57">
        <f t="shared" si="48"/>
        <v>9</v>
      </c>
      <c r="L37" s="57">
        <f t="shared" si="49"/>
        <v>18</v>
      </c>
      <c r="M37" s="1"/>
      <c r="N37" s="57">
        <f ca="1">IF(AND(SUM(N$4:N36)=0,OFFSET(Solution!$I$5, O37, P37)=TRUE), 1, 0)</f>
        <v>0</v>
      </c>
      <c r="O37" s="57">
        <f t="shared" si="50"/>
        <v>9</v>
      </c>
      <c r="P37" s="57">
        <f t="shared" si="51"/>
        <v>18</v>
      </c>
    </row>
    <row r="38" spans="1:16">
      <c r="A38" s="1" t="s">
        <v>23</v>
      </c>
      <c r="B38" s="1" t="str">
        <f ca="1">IF(AND(OFFSET(INDIRECT(G33), 0, 3) = OFFSET(INDIRECT(G33), 0, 2), OFFSET(INDIRECT(G33), 1, 4)=TRUE ), ADDRESS( ROW(INDIRECT(G33)), COLUMN(INDIRECT(G33)) + 3, , , "Solution"), "" )</f>
        <v/>
      </c>
      <c r="C38" s="1" t="str">
        <f t="shared" ref="C38" ca="1" si="60">INDIRECT( ADDRESS(2, COLUMN(INDIRECT(  ADDRESS( ROW(INDIRECT(G33)), COLUMN(INDIRECT(G33)) + 3, , , "Solution")  ))-1, , , "Solution") )</f>
        <v>T</v>
      </c>
      <c r="D38" s="1" t="s">
        <v>36</v>
      </c>
      <c r="E38" s="1"/>
      <c r="F38" t="s">
        <v>29</v>
      </c>
      <c r="G38" s="33" t="str">
        <f t="shared" ca="1" si="4"/>
        <v>Solution!$AF$22</v>
      </c>
      <c r="J38" s="57">
        <f ca="1">IF(AND(SUM(J$4:J37)=0,OFFSET(Solution!$I$5, K38, L38)=TRUE), 1, 0)</f>
        <v>0</v>
      </c>
      <c r="K38" s="57">
        <f t="shared" si="48"/>
        <v>9</v>
      </c>
      <c r="L38" s="57">
        <f t="shared" si="49"/>
        <v>21</v>
      </c>
      <c r="M38" s="1"/>
      <c r="N38" s="57">
        <f ca="1">IF(AND(SUM(N$4:N37)=0,OFFSET(Solution!$I$5, O38, P38)=TRUE), 1, 0)</f>
        <v>0</v>
      </c>
      <c r="O38" s="57">
        <f t="shared" si="50"/>
        <v>9</v>
      </c>
      <c r="P38" s="57">
        <f t="shared" si="51"/>
        <v>21</v>
      </c>
    </row>
    <row r="39" spans="1:16">
      <c r="A39" s="1" t="s">
        <v>24</v>
      </c>
      <c r="B39" s="1" t="str">
        <f ca="1">IF(AND(OFFSET(INDIRECT(G33), 3, 0) = OFFSET(INDIRECT(G33), 2, 0), OFFSET(INDIRECT(G33), 4, 1)=TRUE ), ADDRESS( ROW(INDIRECT(G33)) + 3, COLUMN(INDIRECT(G33)), , , "Solution"), "" )</f>
        <v/>
      </c>
      <c r="C39" s="1" t="s">
        <v>36</v>
      </c>
      <c r="D39" s="1" t="str">
        <f t="shared" ref="D39" ca="1" si="61" xml:space="preserve"> INDIRECT( ADDRESS(ROW(INDIRECT(  ADDRESS( ROW(INDIRECT(G33)) + 3, COLUMN(INDIRECT(G33)), , , "Solution")    ))-1, 6, , , "Solution") )</f>
        <v>T</v>
      </c>
      <c r="E39" s="1"/>
      <c r="F39" s="1" t="s">
        <v>30</v>
      </c>
      <c r="G39" s="35" t="str">
        <f ca="1">IF(AND(AlignmentType=2, RIGHT(G35, 1)="-", LEN(SUBSTITUTE(G35, "-", ""))=SeqB_Length), "", G34) &amp; IF(OR(G37=0, ISERROR(G38), LEN(G34)&gt;=COUNTIF(AlignmentMatrix, TRUE)), "", VLOOKUP(G38, B38:D40, 2, FALSE) )</f>
        <v>GACGCAGT</v>
      </c>
      <c r="J39" s="57">
        <f ca="1">IF(AND(SUM(J$4:J38)=0,OFFSET(Solution!$I$5, K39, L39)=TRUE), 1, 0)</f>
        <v>0</v>
      </c>
      <c r="K39" s="57">
        <f t="shared" si="48"/>
        <v>9</v>
      </c>
      <c r="L39" s="57">
        <f t="shared" si="49"/>
        <v>24</v>
      </c>
      <c r="M39" s="1"/>
      <c r="N39" s="57">
        <f ca="1">IF(AND(SUM(N$4:N38)=0,OFFSET(Solution!$I$5, O39, P39)=TRUE), 1, 0)</f>
        <v>0</v>
      </c>
      <c r="O39" s="57">
        <f t="shared" si="50"/>
        <v>9</v>
      </c>
      <c r="P39" s="57">
        <f t="shared" si="51"/>
        <v>24</v>
      </c>
    </row>
    <row r="40" spans="1:16">
      <c r="A40" s="11" t="s">
        <v>25</v>
      </c>
      <c r="B40" s="1" t="str">
        <f ca="1">IF(AND(OFFSET(INDIRECT(G33), 3, 3) = OFFSET(INDIRECT(G33), 2, 2), OFFSET(INDIRECT(G33), 4, 4)=TRUE ), ADDRESS( ROW(INDIRECT(G33)) + 3, COLUMN(INDIRECT(G33)) + 3, , , "Solution"), "" )</f>
        <v>Solution!$AF$22</v>
      </c>
      <c r="C40" s="1" t="str">
        <f t="shared" ref="C40" ca="1" si="62">C38</f>
        <v>T</v>
      </c>
      <c r="D40" s="1" t="str">
        <f t="shared" ref="D40" ca="1" si="63">D39</f>
        <v>T</v>
      </c>
      <c r="E40" s="1"/>
      <c r="F40" s="1" t="s">
        <v>31</v>
      </c>
      <c r="G40" s="35" t="str">
        <f ca="1">IF(AND(AlignmentType=2, RIGHT(G35, 1)="-", LEN(SUBSTITUTE(G35, "-", ""))=SeqB_Length), "", G35)  &amp; IF(OR(G37=0, ISERROR(G38), LEN(G34)&gt;=COUNTIF(AlignmentMatrix, TRUE)), "", VLOOKUP(G38, B38:D40, 3, FALSE) )</f>
        <v>-ACCCA-T</v>
      </c>
      <c r="J40" s="57">
        <f ca="1">IF(AND(SUM(J$4:J39)=0,OFFSET(Solution!$I$5, K40, L40)=TRUE), 1, 0)</f>
        <v>0</v>
      </c>
      <c r="K40" s="57">
        <f>K39+3</f>
        <v>12</v>
      </c>
      <c r="L40" s="57">
        <v>0</v>
      </c>
      <c r="M40" s="1"/>
      <c r="N40" s="57">
        <f ca="1">IF(AND(SUM(N$4:N39)=0,OFFSET(Solution!$I$5, O40, P40)=TRUE), 1, 0)</f>
        <v>0</v>
      </c>
      <c r="O40" s="57">
        <f>O39+3</f>
        <v>12</v>
      </c>
      <c r="P40" s="57">
        <v>0</v>
      </c>
    </row>
    <row r="41" spans="1:16">
      <c r="G41" s="35"/>
      <c r="J41" s="57">
        <f ca="1">IF(AND(SUM(J$4:J40)=0,OFFSET(Solution!$I$5, K41, L41)=TRUE), 1, 0)</f>
        <v>0</v>
      </c>
      <c r="K41" s="57">
        <f t="shared" ref="K41:K48" si="64">K40</f>
        <v>12</v>
      </c>
      <c r="L41" s="57">
        <f t="shared" ref="L41:L48" si="65">L40+3</f>
        <v>3</v>
      </c>
      <c r="M41" s="1"/>
      <c r="N41" s="57">
        <f ca="1">IF(AND(SUM(N$4:N40)=0,OFFSET(Solution!$I$5, O41, P41)=TRUE), 1, 0)</f>
        <v>0</v>
      </c>
      <c r="O41" s="57">
        <f t="shared" ref="O41:O48" si="66">O40</f>
        <v>12</v>
      </c>
      <c r="P41" s="57">
        <f t="shared" ref="P41:P48" si="67">P40+3</f>
        <v>3</v>
      </c>
    </row>
    <row r="42" spans="1:16">
      <c r="H42">
        <f ca="1">MAX(H2:H37)</f>
        <v>1</v>
      </c>
      <c r="J42" s="57">
        <f ca="1">IF(AND(SUM(J$4:J41)=0,OFFSET(Solution!$I$5, K42, L42)=TRUE), 1, 0)</f>
        <v>0</v>
      </c>
      <c r="K42" s="57">
        <f t="shared" si="64"/>
        <v>12</v>
      </c>
      <c r="L42" s="57">
        <f t="shared" si="65"/>
        <v>6</v>
      </c>
      <c r="M42" s="1"/>
      <c r="N42" s="57">
        <f ca="1">IF(AND(SUM(N$4:N41)=0,OFFSET(Solution!$I$5, O42, P42)=TRUE), 1, 0)</f>
        <v>0</v>
      </c>
      <c r="O42" s="57">
        <f t="shared" si="66"/>
        <v>12</v>
      </c>
      <c r="P42" s="57">
        <f t="shared" si="67"/>
        <v>6</v>
      </c>
    </row>
    <row r="43" spans="1:16">
      <c r="J43" s="57">
        <f ca="1">IF(AND(SUM(J$4:J42)=0,OFFSET(Solution!$I$5, K43, L43)=TRUE), 1, 0)</f>
        <v>0</v>
      </c>
      <c r="K43" s="57">
        <f t="shared" si="64"/>
        <v>12</v>
      </c>
      <c r="L43" s="57">
        <f t="shared" si="65"/>
        <v>9</v>
      </c>
      <c r="M43" s="1"/>
      <c r="N43" s="57">
        <f ca="1">IF(AND(SUM(N$4:N42)=0,OFFSET(Solution!$I$5, O43, P43)=TRUE), 1, 0)</f>
        <v>0</v>
      </c>
      <c r="O43" s="57">
        <f t="shared" si="66"/>
        <v>12</v>
      </c>
      <c r="P43" s="57">
        <f t="shared" si="67"/>
        <v>9</v>
      </c>
    </row>
    <row r="44" spans="1:16">
      <c r="J44" s="57">
        <f ca="1">IF(AND(SUM(J$4:J43)=0,OFFSET(Solution!$I$5, K44, L44)=TRUE), 1, 0)</f>
        <v>0</v>
      </c>
      <c r="K44" s="57">
        <f t="shared" si="64"/>
        <v>12</v>
      </c>
      <c r="L44" s="57">
        <f t="shared" si="65"/>
        <v>12</v>
      </c>
      <c r="M44" s="1"/>
      <c r="N44" s="57">
        <f ca="1">IF(AND(SUM(N$4:N43)=0,OFFSET(Solution!$I$5, O44, P44)=TRUE), 1, 0)</f>
        <v>0</v>
      </c>
      <c r="O44" s="57">
        <f t="shared" si="66"/>
        <v>12</v>
      </c>
      <c r="P44" s="57">
        <f t="shared" si="67"/>
        <v>12</v>
      </c>
    </row>
    <row r="45" spans="1:16">
      <c r="J45" s="57">
        <f ca="1">IF(AND(SUM(J$4:J44)=0,OFFSET(Solution!$I$5, K45, L45)=TRUE), 1, 0)</f>
        <v>0</v>
      </c>
      <c r="K45" s="57">
        <f t="shared" si="64"/>
        <v>12</v>
      </c>
      <c r="L45" s="57">
        <f t="shared" si="65"/>
        <v>15</v>
      </c>
      <c r="M45" s="1"/>
      <c r="N45" s="57">
        <f ca="1">IF(AND(SUM(N$4:N44)=0,OFFSET(Solution!$I$5, O45, P45)=TRUE), 1, 0)</f>
        <v>0</v>
      </c>
      <c r="O45" s="57">
        <f t="shared" si="66"/>
        <v>12</v>
      </c>
      <c r="P45" s="57">
        <f t="shared" si="67"/>
        <v>15</v>
      </c>
    </row>
    <row r="46" spans="1:16">
      <c r="J46" s="57">
        <f ca="1">IF(AND(SUM(J$4:J45)=0,OFFSET(Solution!$I$5, K46, L46)=TRUE), 1, 0)</f>
        <v>0</v>
      </c>
      <c r="K46" s="57">
        <f t="shared" si="64"/>
        <v>12</v>
      </c>
      <c r="L46" s="57">
        <f t="shared" si="65"/>
        <v>18</v>
      </c>
      <c r="M46" s="1"/>
      <c r="N46" s="57">
        <f ca="1">IF(AND(SUM(N$4:N45)=0,OFFSET(Solution!$I$5, O46, P46)=TRUE), 1, 0)</f>
        <v>0</v>
      </c>
      <c r="O46" s="57">
        <f t="shared" si="66"/>
        <v>12</v>
      </c>
      <c r="P46" s="57">
        <f t="shared" si="67"/>
        <v>18</v>
      </c>
    </row>
    <row r="47" spans="1:16">
      <c r="J47" s="57">
        <f ca="1">IF(AND(SUM(J$4:J46)=0,OFFSET(Solution!$I$5, K47, L47)=TRUE), 1, 0)</f>
        <v>0</v>
      </c>
      <c r="K47" s="57">
        <f t="shared" si="64"/>
        <v>12</v>
      </c>
      <c r="L47" s="57">
        <f t="shared" si="65"/>
        <v>21</v>
      </c>
      <c r="M47" s="1"/>
      <c r="N47" s="57">
        <f ca="1">IF(AND(SUM(N$4:N46)=0,OFFSET(Solution!$I$5, O47, P47)=TRUE), 1, 0)</f>
        <v>0</v>
      </c>
      <c r="O47" s="57">
        <f t="shared" si="66"/>
        <v>12</v>
      </c>
      <c r="P47" s="57">
        <f t="shared" si="67"/>
        <v>21</v>
      </c>
    </row>
    <row r="48" spans="1:16">
      <c r="J48" s="57">
        <f ca="1">IF(AND(SUM(J$4:J47)=0,OFFSET(Solution!$I$5, K48, L48)=TRUE), 1, 0)</f>
        <v>0</v>
      </c>
      <c r="K48" s="57">
        <f t="shared" si="64"/>
        <v>12</v>
      </c>
      <c r="L48" s="57">
        <f t="shared" si="65"/>
        <v>24</v>
      </c>
      <c r="M48" s="1"/>
      <c r="N48" s="57">
        <f ca="1">IF(AND(SUM(N$4:N47)=0,OFFSET(Solution!$I$5, O48, P48)=TRUE), 1, 0)</f>
        <v>0</v>
      </c>
      <c r="O48" s="57">
        <f t="shared" si="66"/>
        <v>12</v>
      </c>
      <c r="P48" s="57">
        <f t="shared" si="67"/>
        <v>24</v>
      </c>
    </row>
    <row r="49" spans="10:16">
      <c r="J49" s="57">
        <f ca="1">IF(AND(SUM(J$4:J48)=0,OFFSET(Solution!$I$5, K49, L49)=TRUE), 1, 0)</f>
        <v>0</v>
      </c>
      <c r="K49" s="57">
        <f>K48+3</f>
        <v>15</v>
      </c>
      <c r="L49" s="57">
        <v>0</v>
      </c>
      <c r="M49" s="1"/>
      <c r="N49" s="57">
        <f ca="1">IF(AND(SUM(N$4:N48)=0,OFFSET(Solution!$I$5, O49, P49)=TRUE), 1, 0)</f>
        <v>0</v>
      </c>
      <c r="O49" s="57">
        <f>O48+3</f>
        <v>15</v>
      </c>
      <c r="P49" s="57">
        <v>0</v>
      </c>
    </row>
    <row r="50" spans="10:16">
      <c r="J50" s="57">
        <f ca="1">IF(AND(SUM(J$4:J49)=0,OFFSET(Solution!$I$5, K50, L50)=TRUE), 1, 0)</f>
        <v>0</v>
      </c>
      <c r="K50" s="57">
        <f t="shared" ref="K50:K57" si="68">K49</f>
        <v>15</v>
      </c>
      <c r="L50" s="57">
        <f t="shared" ref="L50:L57" si="69">L49+3</f>
        <v>3</v>
      </c>
      <c r="M50" s="1"/>
      <c r="N50" s="57">
        <f ca="1">IF(AND(SUM(N$4:N49)=0,OFFSET(Solution!$I$5, O50, P50)=TRUE), 1, 0)</f>
        <v>0</v>
      </c>
      <c r="O50" s="57">
        <f t="shared" ref="O50:O57" si="70">O49</f>
        <v>15</v>
      </c>
      <c r="P50" s="57">
        <f t="shared" ref="P50:P57" si="71">P49+3</f>
        <v>3</v>
      </c>
    </row>
    <row r="51" spans="10:16">
      <c r="J51" s="57">
        <f ca="1">IF(AND(SUM(J$4:J50)=0,OFFSET(Solution!$I$5, K51, L51)=TRUE), 1, 0)</f>
        <v>0</v>
      </c>
      <c r="K51" s="57">
        <f t="shared" si="68"/>
        <v>15</v>
      </c>
      <c r="L51" s="57">
        <f t="shared" si="69"/>
        <v>6</v>
      </c>
      <c r="M51" s="1"/>
      <c r="N51" s="57">
        <f ca="1">IF(AND(SUM(N$4:N50)=0,OFFSET(Solution!$I$5, O51, P51)=TRUE), 1, 0)</f>
        <v>0</v>
      </c>
      <c r="O51" s="57">
        <f t="shared" si="70"/>
        <v>15</v>
      </c>
      <c r="P51" s="57">
        <f t="shared" si="71"/>
        <v>6</v>
      </c>
    </row>
    <row r="52" spans="10:16">
      <c r="J52" s="57">
        <f ca="1">IF(AND(SUM(J$4:J51)=0,OFFSET(Solution!$I$5, K52, L52)=TRUE), 1, 0)</f>
        <v>0</v>
      </c>
      <c r="K52" s="57">
        <f t="shared" si="68"/>
        <v>15</v>
      </c>
      <c r="L52" s="57">
        <f t="shared" si="69"/>
        <v>9</v>
      </c>
      <c r="M52" s="1"/>
      <c r="N52" s="57">
        <f ca="1">IF(AND(SUM(N$4:N51)=0,OFFSET(Solution!$I$5, O52, P52)=TRUE), 1, 0)</f>
        <v>0</v>
      </c>
      <c r="O52" s="57">
        <f t="shared" si="70"/>
        <v>15</v>
      </c>
      <c r="P52" s="57">
        <f t="shared" si="71"/>
        <v>9</v>
      </c>
    </row>
    <row r="53" spans="10:16">
      <c r="J53" s="57">
        <f ca="1">IF(AND(SUM(J$4:J52)=0,OFFSET(Solution!$I$5, K53, L53)=TRUE), 1, 0)</f>
        <v>0</v>
      </c>
      <c r="K53" s="57">
        <f t="shared" si="68"/>
        <v>15</v>
      </c>
      <c r="L53" s="57">
        <f t="shared" si="69"/>
        <v>12</v>
      </c>
      <c r="M53" s="1"/>
      <c r="N53" s="57">
        <f ca="1">IF(AND(SUM(N$4:N52)=0,OFFSET(Solution!$I$5, O53, P53)=TRUE), 1, 0)</f>
        <v>0</v>
      </c>
      <c r="O53" s="57">
        <f t="shared" si="70"/>
        <v>15</v>
      </c>
      <c r="P53" s="57">
        <f t="shared" si="71"/>
        <v>12</v>
      </c>
    </row>
    <row r="54" spans="10:16">
      <c r="J54" s="57">
        <f ca="1">IF(AND(SUM(J$4:J53)=0,OFFSET(Solution!$I$5, K54, L54)=TRUE), 1, 0)</f>
        <v>0</v>
      </c>
      <c r="K54" s="57">
        <f t="shared" si="68"/>
        <v>15</v>
      </c>
      <c r="L54" s="57">
        <f t="shared" si="69"/>
        <v>15</v>
      </c>
      <c r="M54" s="1"/>
      <c r="N54" s="57">
        <f ca="1">IF(AND(SUM(N$4:N53)=0,OFFSET(Solution!$I$5, O54, P54)=TRUE), 1, 0)</f>
        <v>0</v>
      </c>
      <c r="O54" s="57">
        <f t="shared" si="70"/>
        <v>15</v>
      </c>
      <c r="P54" s="57">
        <f t="shared" si="71"/>
        <v>15</v>
      </c>
    </row>
    <row r="55" spans="10:16">
      <c r="J55" s="57">
        <f ca="1">IF(AND(SUM(J$4:J54)=0,OFFSET(Solution!$I$5, K55, L55)=TRUE), 1, 0)</f>
        <v>0</v>
      </c>
      <c r="K55" s="57">
        <f t="shared" si="68"/>
        <v>15</v>
      </c>
      <c r="L55" s="57">
        <f t="shared" si="69"/>
        <v>18</v>
      </c>
      <c r="M55" s="1"/>
      <c r="N55" s="57">
        <f ca="1">IF(AND(SUM(N$4:N54)=0,OFFSET(Solution!$I$5, O55, P55)=TRUE), 1, 0)</f>
        <v>0</v>
      </c>
      <c r="O55" s="57">
        <f t="shared" si="70"/>
        <v>15</v>
      </c>
      <c r="P55" s="57">
        <f t="shared" si="71"/>
        <v>18</v>
      </c>
    </row>
    <row r="56" spans="10:16">
      <c r="J56" s="57">
        <f ca="1">IF(AND(SUM(J$4:J55)=0,OFFSET(Solution!$I$5, K56, L56)=TRUE), 1, 0)</f>
        <v>0</v>
      </c>
      <c r="K56" s="57">
        <f t="shared" si="68"/>
        <v>15</v>
      </c>
      <c r="L56" s="57">
        <f t="shared" si="69"/>
        <v>21</v>
      </c>
      <c r="M56" s="1"/>
      <c r="N56" s="57">
        <f ca="1">IF(AND(SUM(N$4:N55)=0,OFFSET(Solution!$I$5, O56, P56)=TRUE), 1, 0)</f>
        <v>0</v>
      </c>
      <c r="O56" s="57">
        <f t="shared" si="70"/>
        <v>15</v>
      </c>
      <c r="P56" s="57">
        <f t="shared" si="71"/>
        <v>21</v>
      </c>
    </row>
    <row r="57" spans="10:16">
      <c r="J57" s="57">
        <f ca="1">IF(AND(SUM(J$4:J56)=0,OFFSET(Solution!$I$5, K57, L57)=TRUE), 1, 0)</f>
        <v>0</v>
      </c>
      <c r="K57" s="57">
        <f t="shared" si="68"/>
        <v>15</v>
      </c>
      <c r="L57" s="57">
        <f t="shared" si="69"/>
        <v>24</v>
      </c>
      <c r="M57" s="1"/>
      <c r="N57" s="57">
        <f ca="1">IF(AND(SUM(N$4:N56)=0,OFFSET(Solution!$I$5, O57, P57)=TRUE), 1, 0)</f>
        <v>0</v>
      </c>
      <c r="O57" s="57">
        <f t="shared" si="70"/>
        <v>15</v>
      </c>
      <c r="P57" s="57">
        <f t="shared" si="71"/>
        <v>24</v>
      </c>
    </row>
    <row r="58" spans="10:16">
      <c r="J58" s="57">
        <f ca="1">IF(AND(SUM(J$4:J57)=0,OFFSET(Solution!$I$5, K58, L58)=TRUE), 1, 0)</f>
        <v>0</v>
      </c>
      <c r="K58" s="57">
        <f>K57+3</f>
        <v>18</v>
      </c>
      <c r="L58" s="57">
        <v>0</v>
      </c>
      <c r="N58" s="57">
        <f ca="1">IF(AND(SUM(N$4:N57)=0,OFFSET(Solution!$I$5, O58, P58)=TRUE), 1, 0)</f>
        <v>0</v>
      </c>
      <c r="O58" s="57">
        <f>O57+3</f>
        <v>18</v>
      </c>
      <c r="P58" s="57">
        <v>0</v>
      </c>
    </row>
    <row r="59" spans="10:16">
      <c r="J59" s="57">
        <f ca="1">IF(AND(SUM(J$4:J58)=0,OFFSET(Solution!$I$5, K59, L59)=TRUE), 1, 0)</f>
        <v>0</v>
      </c>
      <c r="K59" s="57">
        <f t="shared" ref="K59:K66" si="72">K58</f>
        <v>18</v>
      </c>
      <c r="L59" s="57">
        <f t="shared" ref="L59:L66" si="73">L58+3</f>
        <v>3</v>
      </c>
      <c r="N59" s="57">
        <f ca="1">IF(AND(SUM(N$4:N58)=0,OFFSET(Solution!$I$5, O59, P59)=TRUE), 1, 0)</f>
        <v>0</v>
      </c>
      <c r="O59" s="57">
        <f t="shared" ref="O59:O66" si="74">O58</f>
        <v>18</v>
      </c>
      <c r="P59" s="57">
        <f t="shared" ref="P59:P66" si="75">P58+3</f>
        <v>3</v>
      </c>
    </row>
    <row r="60" spans="10:16">
      <c r="J60" s="57">
        <f ca="1">IF(AND(SUM(J$4:J59)=0,OFFSET(Solution!$I$5, K60, L60)=TRUE), 1, 0)</f>
        <v>0</v>
      </c>
      <c r="K60" s="57">
        <f t="shared" si="72"/>
        <v>18</v>
      </c>
      <c r="L60" s="57">
        <f t="shared" si="73"/>
        <v>6</v>
      </c>
      <c r="N60" s="57">
        <f ca="1">IF(AND(SUM(N$4:N59)=0,OFFSET(Solution!$I$5, O60, P60)=TRUE), 1, 0)</f>
        <v>0</v>
      </c>
      <c r="O60" s="57">
        <f t="shared" si="74"/>
        <v>18</v>
      </c>
      <c r="P60" s="57">
        <f t="shared" si="75"/>
        <v>6</v>
      </c>
    </row>
    <row r="61" spans="10:16">
      <c r="J61" s="57">
        <f ca="1">IF(AND(SUM(J$4:J60)=0,OFFSET(Solution!$I$5, K61, L61)=TRUE), 1, 0)</f>
        <v>0</v>
      </c>
      <c r="K61" s="57">
        <f t="shared" si="72"/>
        <v>18</v>
      </c>
      <c r="L61" s="57">
        <f t="shared" si="73"/>
        <v>9</v>
      </c>
      <c r="N61" s="57">
        <f ca="1">IF(AND(SUM(N$4:N60)=0,OFFSET(Solution!$I$5, O61, P61)=TRUE), 1, 0)</f>
        <v>0</v>
      </c>
      <c r="O61" s="57">
        <f t="shared" si="74"/>
        <v>18</v>
      </c>
      <c r="P61" s="57">
        <f t="shared" si="75"/>
        <v>9</v>
      </c>
    </row>
    <row r="62" spans="10:16">
      <c r="J62" s="57">
        <f ca="1">IF(AND(SUM(J$4:J61)=0,OFFSET(Solution!$I$5, K62, L62)=TRUE), 1, 0)</f>
        <v>0</v>
      </c>
      <c r="K62" s="57">
        <f t="shared" si="72"/>
        <v>18</v>
      </c>
      <c r="L62" s="57">
        <f t="shared" si="73"/>
        <v>12</v>
      </c>
      <c r="N62" s="57">
        <f ca="1">IF(AND(SUM(N$4:N61)=0,OFFSET(Solution!$I$5, O62, P62)=TRUE), 1, 0)</f>
        <v>0</v>
      </c>
      <c r="O62" s="57">
        <f t="shared" si="74"/>
        <v>18</v>
      </c>
      <c r="P62" s="57">
        <f t="shared" si="75"/>
        <v>12</v>
      </c>
    </row>
    <row r="63" spans="10:16">
      <c r="J63" s="57">
        <f ca="1">IF(AND(SUM(J$4:J62)=0,OFFSET(Solution!$I$5, K63, L63)=TRUE), 1, 0)</f>
        <v>0</v>
      </c>
      <c r="K63" s="57">
        <f t="shared" si="72"/>
        <v>18</v>
      </c>
      <c r="L63" s="57">
        <f t="shared" si="73"/>
        <v>15</v>
      </c>
      <c r="N63" s="57">
        <f ca="1">IF(AND(SUM(N$4:N62)=0,OFFSET(Solution!$I$5, O63, P63)=TRUE), 1, 0)</f>
        <v>0</v>
      </c>
      <c r="O63" s="57">
        <f t="shared" si="74"/>
        <v>18</v>
      </c>
      <c r="P63" s="57">
        <f t="shared" si="75"/>
        <v>15</v>
      </c>
    </row>
    <row r="64" spans="10:16">
      <c r="J64" s="57">
        <f ca="1">IF(AND(SUM(J$4:J63)=0,OFFSET(Solution!$I$5, K64, L64)=TRUE), 1, 0)</f>
        <v>0</v>
      </c>
      <c r="K64" s="57">
        <f t="shared" si="72"/>
        <v>18</v>
      </c>
      <c r="L64" s="57">
        <f t="shared" si="73"/>
        <v>18</v>
      </c>
      <c r="N64" s="57">
        <f ca="1">IF(AND(SUM(N$4:N63)=0,OFFSET(Solution!$I$5, O64, P64)=TRUE), 1, 0)</f>
        <v>0</v>
      </c>
      <c r="O64" s="57">
        <f t="shared" si="74"/>
        <v>18</v>
      </c>
      <c r="P64" s="57">
        <f t="shared" si="75"/>
        <v>18</v>
      </c>
    </row>
    <row r="65" spans="10:16">
      <c r="J65" s="57">
        <f ca="1">IF(AND(SUM(J$4:J64)=0,OFFSET(Solution!$I$5, K65, L65)=TRUE), 1, 0)</f>
        <v>0</v>
      </c>
      <c r="K65" s="57">
        <f t="shared" si="72"/>
        <v>18</v>
      </c>
      <c r="L65" s="57">
        <f t="shared" si="73"/>
        <v>21</v>
      </c>
      <c r="N65" s="57">
        <f ca="1">IF(AND(SUM(N$4:N64)=0,OFFSET(Solution!$I$5, O65, P65)=TRUE), 1, 0)</f>
        <v>0</v>
      </c>
      <c r="O65" s="57">
        <f t="shared" si="74"/>
        <v>18</v>
      </c>
      <c r="P65" s="57">
        <f t="shared" si="75"/>
        <v>21</v>
      </c>
    </row>
    <row r="66" spans="10:16">
      <c r="J66" s="57">
        <f ca="1">IF(AND(SUM(J$4:J65)=0,OFFSET(Solution!$I$5, K66, L66)=TRUE), 1, 0)</f>
        <v>0</v>
      </c>
      <c r="K66" s="57">
        <f t="shared" si="72"/>
        <v>18</v>
      </c>
      <c r="L66" s="57">
        <f t="shared" si="73"/>
        <v>24</v>
      </c>
      <c r="N66" s="57">
        <f ca="1">IF(AND(SUM(N$4:N65)=0,OFFSET(Solution!$I$5, O66, P66)=TRUE), 1, 0)</f>
        <v>0</v>
      </c>
      <c r="O66" s="57">
        <f t="shared" si="74"/>
        <v>18</v>
      </c>
      <c r="P66" s="57">
        <f t="shared" si="75"/>
        <v>24</v>
      </c>
    </row>
  </sheetData>
  <conditionalFormatting sqref="J4:L66">
    <cfRule type="expression" dxfId="1" priority="2">
      <formula>$J4=1</formula>
    </cfRule>
  </conditionalFormatting>
  <conditionalFormatting sqref="N4:P66">
    <cfRule type="expression" dxfId="0" priority="1">
      <formula>$N4=1</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Worksheet 1 - Scoring Matrix</vt:lpstr>
      <vt:lpstr>Worksheet 2 - Traceback</vt:lpstr>
      <vt:lpstr>Terms &amp; Conditions</vt:lpstr>
      <vt:lpstr>Solution</vt:lpstr>
      <vt:lpstr>Calculations</vt:lpstr>
    </vt:vector>
  </TitlesOfParts>
  <Company>Information Technology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wtwhite</dc:creator>
  <cp:lastModifiedBy>Anton Weisstein</cp:lastModifiedBy>
  <cp:lastPrinted>2002-09-23T01:22:10Z</cp:lastPrinted>
  <dcterms:created xsi:type="dcterms:W3CDTF">2002-09-23T01:00:45Z</dcterms:created>
  <dcterms:modified xsi:type="dcterms:W3CDTF">2014-08-19T18:29:50Z</dcterms:modified>
</cp:coreProperties>
</file>